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1"/>
  </bookViews>
  <sheets>
    <sheet name="Передвижная энергетика 1" sheetId="1" state="hidden" r:id="rId1"/>
    <sheet name="ФЭМ" sheetId="2" state="visible" r:id="rId2"/>
    <sheet name="проч" sheetId="3" state="hidden" r:id="rId3"/>
    <sheet name="Росэнергоатом" sheetId="4" state="hidden" r:id="rId4"/>
  </sheets>
  <definedNames>
    <definedName name="_xlnm.Print_Area" localSheetId="1">ФЭМ!$A$1:$S$461</definedName>
  </definedNames>
  <calcPr/>
</workbook>
</file>

<file path=xl/sharedStrings.xml><?xml version="1.0" encoding="utf-8"?>
<sst xmlns="http://schemas.openxmlformats.org/spreadsheetml/2006/main" count="1161" uniqueCount="1161">
  <si>
    <t xml:space="preserve">Финансовый план на период реализации инвестиционной программы ПАО "Передвижная энрегетика"
(заполняется по финансированию) 2016-2019</t>
  </si>
  <si>
    <t xml:space="preserve">№ п/п</t>
  </si>
  <si>
    <t>Показатели</t>
  </si>
  <si>
    <t xml:space="preserve">год 2016</t>
  </si>
  <si>
    <t xml:space="preserve">год  2017</t>
  </si>
  <si>
    <t xml:space="preserve">год  2018</t>
  </si>
  <si>
    <t xml:space="preserve">год  2019</t>
  </si>
  <si>
    <t>Итого</t>
  </si>
  <si>
    <t>I.</t>
  </si>
  <si>
    <t xml:space="preserve">Выручка от реализации товаров (работ, услуг),   всего</t>
  </si>
  <si>
    <t xml:space="preserve">в том числе:</t>
  </si>
  <si>
    <t>1.1.</t>
  </si>
  <si>
    <t xml:space="preserve">Выручка от основной деятельности 
(расшифроваь по видам регулируемой деятельности)</t>
  </si>
  <si>
    <t>1.2.</t>
  </si>
  <si>
    <t xml:space="preserve">Выручка от прочей деятельности (расшифровать)</t>
  </si>
  <si>
    <t>II.</t>
  </si>
  <si>
    <t xml:space="preserve">Расходы по текущей деятельности, всего</t>
  </si>
  <si>
    <t>1.</t>
  </si>
  <si>
    <t xml:space="preserve">Материальные расходы, всего</t>
  </si>
  <si>
    <t>Топливо</t>
  </si>
  <si>
    <t xml:space="preserve">Сырье, материалы, запасные части, инструменты</t>
  </si>
  <si>
    <t>1.3.</t>
  </si>
  <si>
    <t xml:space="preserve">Покупная электроэнергия</t>
  </si>
  <si>
    <t>2.</t>
  </si>
  <si>
    <t xml:space="preserve">Расходы на оплату труда с учетом ЕСН</t>
  </si>
  <si>
    <t>3.</t>
  </si>
  <si>
    <t xml:space="preserve">Амортизационные отчисления</t>
  </si>
  <si>
    <t>4.</t>
  </si>
  <si>
    <t xml:space="preserve">Налоги  и сборы, всего</t>
  </si>
  <si>
    <t>5.</t>
  </si>
  <si>
    <t xml:space="preserve">Прочие расходы, всего</t>
  </si>
  <si>
    <t>5.1.</t>
  </si>
  <si>
    <t xml:space="preserve">Ремонт основных средств</t>
  </si>
  <si>
    <t>5.3.</t>
  </si>
  <si>
    <t xml:space="preserve">Платежи по аренде и лизингу</t>
  </si>
  <si>
    <t>5.4.</t>
  </si>
  <si>
    <t xml:space="preserve">Инфраструктурные платежи рынка</t>
  </si>
  <si>
    <t>III.</t>
  </si>
  <si>
    <t xml:space="preserve">Валовая прибыль (I р.-II р.)</t>
  </si>
  <si>
    <t>IV.</t>
  </si>
  <si>
    <t xml:space="preserve">Внереализационные доходы и расходы (сальдо)</t>
  </si>
  <si>
    <t xml:space="preserve">Внереализационные доходы, всего</t>
  </si>
  <si>
    <t xml:space="preserve">в том числе</t>
  </si>
  <si>
    <t xml:space="preserve">Доходы от участия в других организациях (дивиденды от ДЗО)</t>
  </si>
  <si>
    <t xml:space="preserve">Проценты от размещения средств</t>
  </si>
  <si>
    <t xml:space="preserve">Внереализационные расходы, всего</t>
  </si>
  <si>
    <t>2.1.</t>
  </si>
  <si>
    <t xml:space="preserve">Проценты по обслуживанию кредитов</t>
  </si>
  <si>
    <t>V.</t>
  </si>
  <si>
    <t xml:space="preserve">Прибыль до налоообложения (III + IV)</t>
  </si>
  <si>
    <t>VI.</t>
  </si>
  <si>
    <t xml:space="preserve">Налог на прибыль</t>
  </si>
  <si>
    <t>VII.</t>
  </si>
  <si>
    <t xml:space="preserve">Чистая прибыль  </t>
  </si>
  <si>
    <t>VIII.</t>
  </si>
  <si>
    <t xml:space="preserve">Направления использования чистой прибыли</t>
  </si>
  <si>
    <t xml:space="preserve">Фонд накопления</t>
  </si>
  <si>
    <t xml:space="preserve">Резервный фонд</t>
  </si>
  <si>
    <t xml:space="preserve">Выплата дивидендов</t>
  </si>
  <si>
    <t xml:space="preserve">Прочие расходы из прибыли</t>
  </si>
  <si>
    <t>IX.</t>
  </si>
  <si>
    <t xml:space="preserve">Изменение дебиторской задолженности</t>
  </si>
  <si>
    <t xml:space="preserve">Увеличение дебиторской задолженности</t>
  </si>
  <si>
    <t xml:space="preserve">Сокращение дебиторской задолженности</t>
  </si>
  <si>
    <t xml:space="preserve">Сальдо  (+увеличение; -сокращение) </t>
  </si>
  <si>
    <t>+</t>
  </si>
  <si>
    <t>-</t>
  </si>
  <si>
    <t>X.</t>
  </si>
  <si>
    <t xml:space="preserve">Изменение кредиторской задолженности</t>
  </si>
  <si>
    <t xml:space="preserve">Увеличение кредиторской задолженности</t>
  </si>
  <si>
    <t xml:space="preserve">Сокращение кредиторской задолженности</t>
  </si>
  <si>
    <t>XI.</t>
  </si>
  <si>
    <t xml:space="preserve">Привлечение заемных средств</t>
  </si>
  <si>
    <t xml:space="preserve">в том числе на:</t>
  </si>
  <si>
    <t xml:space="preserve">Финансирование инвестиционной программы</t>
  </si>
  <si>
    <t xml:space="preserve">в т.ч. в части ДПМ*</t>
  </si>
  <si>
    <t xml:space="preserve">Прочие цели (расшифровка)</t>
  </si>
  <si>
    <t>XII.</t>
  </si>
  <si>
    <t xml:space="preserve">Погашение заемных средств  </t>
  </si>
  <si>
    <t xml:space="preserve">в том числе по:</t>
  </si>
  <si>
    <t xml:space="preserve">Инвестиционной программе</t>
  </si>
  <si>
    <t>XIII.</t>
  </si>
  <si>
    <r>
      <t xml:space="preserve">Возмещаемый НДС </t>
    </r>
    <r>
      <rPr>
        <sz val="12"/>
        <rFont val="Times New Roman"/>
      </rPr>
      <t>(поступления)</t>
    </r>
  </si>
  <si>
    <t>XIV.</t>
  </si>
  <si>
    <t xml:space="preserve">Купля/продажа активов</t>
  </si>
  <si>
    <t xml:space="preserve">Покупка активов (акций, долей и т.п.)</t>
  </si>
  <si>
    <t xml:space="preserve">Продажа активов (акций, долей и т.п.)</t>
  </si>
  <si>
    <t>XV.</t>
  </si>
  <si>
    <t xml:space="preserve">Средства, полученные от допэмиссии акций</t>
  </si>
  <si>
    <t>XVI.</t>
  </si>
  <si>
    <t xml:space="preserve">Капитальные вложения</t>
  </si>
  <si>
    <t xml:space="preserve">Всего поступления 
( I р.+ 1п. IV р. + 2 п. IX р. + 1 п. X р. +  XI р. + XIII р. + 2п.XIV р. + XV р.)                             </t>
  </si>
  <si>
    <t>XVII.</t>
  </si>
  <si>
    <t xml:space="preserve">Всего расходы 
(II р. - 3п. II р. + 2п. IV р. + 1 п. IX р. + 2 п. X р. + VI р. + VIII р. +  XII р. + 1 п. XIV р.+ XVI р.)</t>
  </si>
  <si>
    <t xml:space="preserve">Сальдо  (+профицит; - дефицит) 
(XVI р. - XVII р.)</t>
  </si>
  <si>
    <t>Справочно:</t>
  </si>
  <si>
    <t>EBITDA</t>
  </si>
  <si>
    <t xml:space="preserve">Долг на конец периода **)</t>
  </si>
  <si>
    <t xml:space="preserve">**) Долг расчитан исходя из ожидаемого значения на конец 2015 г. в сумме 225,0 млн. руб., на конец 2016 г. - 197,0 млн. руб.</t>
  </si>
  <si>
    <t xml:space="preserve">Прогноз тарифов, руб. кВт*ч (средний)</t>
  </si>
  <si>
    <t xml:space="preserve">Источники финансирования инвестиционной программы ПАО "Передвижная энрегетика" 2016-2019
(в прогнозных ценах соответствующих лет), млн. рублей</t>
  </si>
  <si>
    <t>№№</t>
  </si>
  <si>
    <t xml:space="preserve">Источник финансирования</t>
  </si>
  <si>
    <t xml:space="preserve">План года 2016</t>
  </si>
  <si>
    <t xml:space="preserve">План года 2017</t>
  </si>
  <si>
    <t xml:space="preserve">План  года 2018</t>
  </si>
  <si>
    <t xml:space="preserve">План  года 2019</t>
  </si>
  <si>
    <t xml:space="preserve">Источники финансирования инвестиционной программы всего, в том числе:</t>
  </si>
  <si>
    <t>1</t>
  </si>
  <si>
    <t xml:space="preserve">Собственные средства всего, в том числе</t>
  </si>
  <si>
    <t>1.1</t>
  </si>
  <si>
    <t xml:space="preserve">Прибыль, направляемая на инвестиции, в том числе:</t>
  </si>
  <si>
    <t>1.1.1</t>
  </si>
  <si>
    <t xml:space="preserve">инвестиционная составляющая в тарифах (указать отдельно по регулируемым видам деятельности)</t>
  </si>
  <si>
    <t>1.1.2</t>
  </si>
  <si>
    <t xml:space="preserve">прибыль со свободного сектора</t>
  </si>
  <si>
    <t>1.1.3</t>
  </si>
  <si>
    <t xml:space="preserve">от технологического присоединения, в том числе</t>
  </si>
  <si>
    <t>1.1.3.1</t>
  </si>
  <si>
    <t xml:space="preserve">    от технологического присоединения генерации</t>
  </si>
  <si>
    <t xml:space="preserve">авансовое использование прибыли</t>
  </si>
  <si>
    <t>1.1.3.2</t>
  </si>
  <si>
    <t xml:space="preserve">    от технологического присоединения потребителей</t>
  </si>
  <si>
    <t>1.1.4</t>
  </si>
  <si>
    <t xml:space="preserve">Прочая прибыль</t>
  </si>
  <si>
    <t>1.2</t>
  </si>
  <si>
    <t xml:space="preserve">Амортизация всего, в том числе</t>
  </si>
  <si>
    <t>1.2.1</t>
  </si>
  <si>
    <t xml:space="preserve">амортизация, учтенная в тарифах (указать отдельно по регулируемым видам деятельности)</t>
  </si>
  <si>
    <t>1.2.2</t>
  </si>
  <si>
    <t xml:space="preserve">прочая амортизация</t>
  </si>
  <si>
    <t>1.2.3</t>
  </si>
  <si>
    <t xml:space="preserve">недоиспользованная амортизация прошлых лет</t>
  </si>
  <si>
    <t>1.3</t>
  </si>
  <si>
    <t xml:space="preserve">Возврат НДС</t>
  </si>
  <si>
    <t>1.4</t>
  </si>
  <si>
    <t xml:space="preserve">Прочие собственные средства всего, в том числе:</t>
  </si>
  <si>
    <t>1.4.1</t>
  </si>
  <si>
    <t xml:space="preserve">средства допэмиссии</t>
  </si>
  <si>
    <t>1.5</t>
  </si>
  <si>
    <t xml:space="preserve">Остаток собственных средств на начало года</t>
  </si>
  <si>
    <t>2</t>
  </si>
  <si>
    <t xml:space="preserve">Привлеченные средства всего, в том числе:</t>
  </si>
  <si>
    <t>2.1</t>
  </si>
  <si>
    <t>Кредиты</t>
  </si>
  <si>
    <t>2.2</t>
  </si>
  <si>
    <t xml:space="preserve">Облигационные займы</t>
  </si>
  <si>
    <t>2.3</t>
  </si>
  <si>
    <t xml:space="preserve">Займы организаций</t>
  </si>
  <si>
    <t>2.4</t>
  </si>
  <si>
    <t xml:space="preserve">Бюджетное финансирование</t>
  </si>
  <si>
    <t xml:space="preserve">средства федерального бюджета текущего периода</t>
  </si>
  <si>
    <t xml:space="preserve">средства федерального бюджета, недоиспользованные в прошлых периодах</t>
  </si>
  <si>
    <t xml:space="preserve">средства регионального и местных бюджетов текущего периода</t>
  </si>
  <si>
    <t xml:space="preserve">средства регионального и местных бюджетов, недоиспользованные в прошлых периодах</t>
  </si>
  <si>
    <t>2.5</t>
  </si>
  <si>
    <t xml:space="preserve">Средства внешних инвесторов</t>
  </si>
  <si>
    <t>2.6</t>
  </si>
  <si>
    <t xml:space="preserve">Использование лизинга</t>
  </si>
  <si>
    <t>2.7</t>
  </si>
  <si>
    <t xml:space="preserve">Прочие привлеченные средства</t>
  </si>
  <si>
    <t xml:space="preserve">Справочно для компаний на RAB регулировании (в части инвестиций по передаче электроэнергии):</t>
  </si>
  <si>
    <t xml:space="preserve">Возврат инвестированного капитала направляемый на инвестиции</t>
  </si>
  <si>
    <t xml:space="preserve">Доход на инвестированный капитал направляемый на инвестиции</t>
  </si>
  <si>
    <t xml:space="preserve">Заемные средства направляемые на инвестиции</t>
  </si>
  <si>
    <t xml:space="preserve">***) расшифровка п. 1.3. Возврат НДС:</t>
  </si>
  <si>
    <t>1.3.1.</t>
  </si>
  <si>
    <t>амортизация</t>
  </si>
  <si>
    <t>1.3.2.</t>
  </si>
  <si>
    <t xml:space="preserve">чистая прибыль</t>
  </si>
  <si>
    <t>1.3.3.</t>
  </si>
  <si>
    <t xml:space="preserve">прибыль прошлых лет</t>
  </si>
  <si>
    <t>1.3.4.</t>
  </si>
  <si>
    <t xml:space="preserve">собственные средства</t>
  </si>
  <si>
    <t xml:space="preserve">****) расшифровка п. 1.4. Прочие собственные средства:</t>
  </si>
  <si>
    <t>1.4.1.</t>
  </si>
  <si>
    <t xml:space="preserve">реализация ДУЗ (частично)</t>
  </si>
  <si>
    <t>1.4.2.</t>
  </si>
  <si>
    <t xml:space="preserve">реализация Гагаринская база (частично)</t>
  </si>
  <si>
    <t xml:space="preserve">Финансовая модель ПАО "Передвижная энрегетика" 2016-2019
(в разрезе каждого юридического лица группы/по конечным видам выпускаемой продукции) 
по годам до 2026 года включительно</t>
  </si>
  <si>
    <t>Выручка</t>
  </si>
  <si>
    <t>электроэнергия</t>
  </si>
  <si>
    <t>теплоэнергия</t>
  </si>
  <si>
    <t xml:space="preserve">сетевые услуги</t>
  </si>
  <si>
    <t>Обслуживание</t>
  </si>
  <si>
    <t>Прочее</t>
  </si>
  <si>
    <t>Себестоимость</t>
  </si>
  <si>
    <t xml:space="preserve">Прямая себестоимость</t>
  </si>
  <si>
    <t xml:space="preserve">Накладные расходы</t>
  </si>
  <si>
    <t xml:space="preserve">Операционная прибыль</t>
  </si>
  <si>
    <t xml:space="preserve">Внереализационные расходы </t>
  </si>
  <si>
    <t>Проценты</t>
  </si>
  <si>
    <t xml:space="preserve">Чистая прибыль/убыток</t>
  </si>
  <si>
    <t xml:space="preserve">Чистая прибыль с учетом субсидий по процентам</t>
  </si>
  <si>
    <t xml:space="preserve">Операционный денежный поток</t>
  </si>
  <si>
    <t xml:space="preserve">Требуются пояснения по величине поступлений по операционному денежному потоку, указанных в форме приложения 4.3. за 2017-2019 год. Показатели на 46-51% больше соответствующих начислений.</t>
  </si>
  <si>
    <t>Поступления</t>
  </si>
  <si>
    <t xml:space="preserve">производство электроэнергии</t>
  </si>
  <si>
    <t>прочее</t>
  </si>
  <si>
    <t xml:space="preserve">Прочие доходы</t>
  </si>
  <si>
    <t xml:space="preserve">субсидии на разницу в тарифах за население</t>
  </si>
  <si>
    <t>Выбытия</t>
  </si>
  <si>
    <t xml:space="preserve">Платежи по прямой себестоимости</t>
  </si>
  <si>
    <t xml:space="preserve">Продукт 3</t>
  </si>
  <si>
    <t xml:space="preserve">Прочие расходы</t>
  </si>
  <si>
    <t xml:space="preserve">Заводские расходы</t>
  </si>
  <si>
    <t xml:space="preserve">Процентные платежи</t>
  </si>
  <si>
    <t xml:space="preserve">Итого операционный денежный поток</t>
  </si>
  <si>
    <t xml:space="preserve">Инвестиционный денежный поток</t>
  </si>
  <si>
    <t xml:space="preserve">Выбытия (инвестиции в объекты)</t>
  </si>
  <si>
    <t xml:space="preserve">Итого инвестиционный денежный поток</t>
  </si>
  <si>
    <t xml:space="preserve">Финансовый денежный поток</t>
  </si>
  <si>
    <t xml:space="preserve">Эмиссия акций</t>
  </si>
  <si>
    <t xml:space="preserve">Привлечение кредитов</t>
  </si>
  <si>
    <t xml:space="preserve">Выбытия ( в т.ч. дивиденды)</t>
  </si>
  <si>
    <t xml:space="preserve">Погашение кредитов и займов</t>
  </si>
  <si>
    <t xml:space="preserve">Итого финансовый денежный поток</t>
  </si>
  <si>
    <t xml:space="preserve">Итого денежный поток</t>
  </si>
  <si>
    <t xml:space="preserve">Меры господдержки</t>
  </si>
  <si>
    <t xml:space="preserve">Реструктуризация дефицитных кредитов</t>
  </si>
  <si>
    <t xml:space="preserve">Увеличение капитализации (покрытие дефицита инвестиций: гос инвестиции)</t>
  </si>
  <si>
    <t xml:space="preserve">Субсидирование процентной ставки (рестр)</t>
  </si>
  <si>
    <t xml:space="preserve">Субсидирование процентной ставки</t>
  </si>
  <si>
    <t xml:space="preserve">Нарастающим итогом</t>
  </si>
  <si>
    <t xml:space="preserve">остаток денежных средств на начало периода</t>
  </si>
  <si>
    <t xml:space="preserve">Кредиты на начало</t>
  </si>
  <si>
    <t xml:space="preserve">Кредиты на конец</t>
  </si>
  <si>
    <t xml:space="preserve">I. Блок проверки - форма 4.1. с 4.2.</t>
  </si>
  <si>
    <t>Наименование</t>
  </si>
  <si>
    <t>Комментарии</t>
  </si>
  <si>
    <t xml:space="preserve">Возмещаемый НДС</t>
  </si>
  <si>
    <t xml:space="preserve">Информация о величине возмещаемого НДС (приложение 4.1) не соответствует информации о возврате НДС в качестве источника финансирования (приложение 4.2) в 2016 году. Требуются пояснения.</t>
  </si>
  <si>
    <t xml:space="preserve">I. Блок проверки - форма 4.1. с 4.3.</t>
  </si>
  <si>
    <t xml:space="preserve">Погашение заемных средств</t>
  </si>
  <si>
    <t xml:space="preserve">Всего поступления</t>
  </si>
  <si>
    <t xml:space="preserve">Сумма поступлений (приток, доход) и сумма расходов (отток) по данным указанным в формате приложения 4.1. (строка XVI. и XVII.) не соответствует сумме поступлений по данным указанным в формате приложения 4.3. по всем периодам 2016-2019 год. При этом присутствует также расхождение  в сальдо денежного потока.</t>
  </si>
  <si>
    <t xml:space="preserve">Всего расходы</t>
  </si>
  <si>
    <t xml:space="preserve">Долг на конец периода</t>
  </si>
  <si>
    <t xml:space="preserve">I. Блок проверки - форма 4.3. с 4.1.</t>
  </si>
  <si>
    <t xml:space="preserve">Несоответствие показателей выручки, себестоимости, операционной прибыли, внереализационных расходов/доходов в приложении 4.3 и 4.1 на периоде 2017-2019. Требуются пояснения. В приложении 4.3 отсутствует информация по внереализаионным доходам. Требуются пояснения.</t>
  </si>
  <si>
    <t xml:space="preserve">I. Блок проверки - форма 4.3. с 4.2.</t>
  </si>
  <si>
    <t xml:space="preserve">Выбытия по инвестиционной деятельности</t>
  </si>
  <si>
    <t xml:space="preserve">Cальдо денежного потока</t>
  </si>
  <si>
    <t xml:space="preserve">Кредиты на начало-Кредиты на конец-сальдо финансовой деятельности</t>
  </si>
  <si>
    <t xml:space="preserve">II. Основные показатели</t>
  </si>
  <si>
    <t xml:space="preserve">Амортизация (4.1.)</t>
  </si>
  <si>
    <t xml:space="preserve">Чистая прибыль/убыток (4.1.)</t>
  </si>
  <si>
    <t xml:space="preserve">Выплата дивидендов (4.1.)</t>
  </si>
  <si>
    <t xml:space="preserve">доля дивидендов в чистой прибыли</t>
  </si>
  <si>
    <t xml:space="preserve">Пояснить отсутствие выплат по дивидендам в 2017 году (положительная чистая прибыль) и практическое отсутствие выплат дивидендов в 2018 и 2019 годах (менее 1 % чистой прибыли).</t>
  </si>
  <si>
    <t xml:space="preserve">Остаток денежных средств на начало периода (4.3.)</t>
  </si>
  <si>
    <t xml:space="preserve">Остаток денежных средств на конец периода</t>
  </si>
  <si>
    <t>проверка</t>
  </si>
  <si>
    <t xml:space="preserve">Сальдо денежного потока от операционной деятельности (4.3.)</t>
  </si>
  <si>
    <t xml:space="preserve">Сальдо денежного потока от инвестиционной деятельности (4.3.)</t>
  </si>
  <si>
    <t xml:space="preserve">Сальдо денежного потока от финансовой деятельности (4.3.)</t>
  </si>
  <si>
    <t xml:space="preserve">погашение кредитов и займов (4.3.)</t>
  </si>
  <si>
    <t xml:space="preserve">в  том числе на ИПР (4.1.)</t>
  </si>
  <si>
    <t xml:space="preserve">привлечение кредитов и займов (4.3.)</t>
  </si>
  <si>
    <t xml:space="preserve">Debt (4.1.)</t>
  </si>
  <si>
    <t xml:space="preserve">Ebitda (4.1.)</t>
  </si>
  <si>
    <t>Debt/Ebitda</t>
  </si>
  <si>
    <t xml:space="preserve">Поступления всего (4.1.)</t>
  </si>
  <si>
    <t xml:space="preserve">Расходы всего (4.1.)</t>
  </si>
  <si>
    <t>Сальдо</t>
  </si>
  <si>
    <t xml:space="preserve">Приток (4.3.)</t>
  </si>
  <si>
    <t xml:space="preserve">Отток (4.3.)</t>
  </si>
  <si>
    <t xml:space="preserve">Проверка: сальдо с остатком на конец периода</t>
  </si>
  <si>
    <t xml:space="preserve">Проверка: сальдо с сальдо</t>
  </si>
  <si>
    <t xml:space="preserve">III. Расчет объемов финансирования ИПР</t>
  </si>
  <si>
    <t xml:space="preserve">Доступный объем амортизации</t>
  </si>
  <si>
    <t xml:space="preserve">Доступный объем амортизации (дивиденды 25%)</t>
  </si>
  <si>
    <t xml:space="preserve">Собственный источник финансирования (FCF)</t>
  </si>
  <si>
    <t xml:space="preserve">Собственный источник финансирования (дивиденды 25%)</t>
  </si>
  <si>
    <t>разница</t>
  </si>
  <si>
    <t xml:space="preserve">Собственный источник финансирования с учетом кредитов (FCF_D)</t>
  </si>
  <si>
    <t xml:space="preserve">Достпуный собственный источник финансирования</t>
  </si>
  <si>
    <t xml:space="preserve">Достпуный собственный источник финансирования (дивиденды 25%)</t>
  </si>
  <si>
    <t xml:space="preserve">Возможное дополнительное привлечение (3.0)</t>
  </si>
  <si>
    <t xml:space="preserve">Дивиденды, выплачиваемые в  2016 г.=</t>
  </si>
  <si>
    <t xml:space="preserve">Чистая прибыль 2015г.=</t>
  </si>
  <si>
    <t>нд</t>
  </si>
  <si>
    <t xml:space="preserve">III. Заявленные объемы ИПР</t>
  </si>
  <si>
    <t xml:space="preserve">Всего объем финансирования ИПР (4.2.)</t>
  </si>
  <si>
    <t xml:space="preserve">Пояснить снижение объемов финансирования инвестиционной программы в 2016 году на 20%, в 2017 году на 5 % и рост в 2018 году на 11 % относительно утвержденного Минэнерго России объема финансирования.</t>
  </si>
  <si>
    <t xml:space="preserve">в том числе собственные средства (4.2.)</t>
  </si>
  <si>
    <t xml:space="preserve">в том числе амортизация (4.2.)</t>
  </si>
  <si>
    <t xml:space="preserve">в том числе привлеченные средства (4.2.)</t>
  </si>
  <si>
    <t xml:space="preserve">в том числе кредиты и займы (4.2.)</t>
  </si>
  <si>
    <t xml:space="preserve">доля собственных</t>
  </si>
  <si>
    <t xml:space="preserve">доля привлеченных</t>
  </si>
  <si>
    <t xml:space="preserve">Утвержденный объем финансирования ИПР</t>
  </si>
  <si>
    <t xml:space="preserve">Пояснить увеличение объема финансирования инвестиционной программы на порядка 30% относительно утвержденного Минэнерго России объема финансирования на 2017 год.</t>
  </si>
  <si>
    <t>Разница</t>
  </si>
  <si>
    <t xml:space="preserve">Разница амортизация-источник и амортизация обеспеченная денежным потоком</t>
  </si>
  <si>
    <t xml:space="preserve">Требуются пояснения по источнику финансирования инвестиционной программы за счет амортизации в объемах меньше, чем объемы амортизации обеспеченные денежным потоком за период 2016-2019 год.</t>
  </si>
  <si>
    <t xml:space="preserve">амортизация-амортизация ИПР</t>
  </si>
  <si>
    <t xml:space="preserve">Разница между заявленными объемами собственных средств и расчетом собственных средств</t>
  </si>
  <si>
    <t xml:space="preserve">На основании информации по остаткам денежных средств на начало периода, сальдо денежного потока от операционной деятельности, погашения/привлечения долговой нагрузки, представленной в приложении 4.3, доступный объем финансирования инвестиционной программы на период  2016-2019 годов за счет собственных средств возможен в следующих объемах (с учетом выплаты дивидендов в размере 25 % от чистой прибыли): на 2016 год - порядка 180 млн рублей, на 2017 год - порядка 338 млн рублей, на 2018 год - порядка 313 млн рублей, на 2019 год - порядка 283 млн рублей. Исходя из чего возможно сделать следующий вывод: финансирование инвестиционной программы в заявленном объеме на период 2017-2019 год обеспечено собственными источниками финансирования без необходимости привлечения кредитов и займов; на 2016 год возможно профинансировать инвестиционную программу за счет собственных средств в размере не более 180 млн руб, в том числе за счет амортизационных отчислений, обеспеченных денежным потоком. Привлечение заменых средств для финансирования инвестиционной программы на 2016 год возможен исходя из соотношения долговой нагрузки и показателей финансовых ковенант, однако требуется обоснование по данному привлечению с точки зрения мероприятий инвестиционной программы.</t>
  </si>
  <si>
    <t xml:space="preserve">Разница между заявленными объемами финансирования и расчетом собственных средств</t>
  </si>
  <si>
    <t xml:space="preserve">IV. Динамика показателей</t>
  </si>
  <si>
    <t xml:space="preserve">Выручка (4.1.)</t>
  </si>
  <si>
    <t xml:space="preserve">Необходима расшифровка динамики изменения затрат на покупную э/э в 2017 году (рост на 9 % ).</t>
  </si>
  <si>
    <t xml:space="preserve">Себестоимость (4.1.)</t>
  </si>
  <si>
    <t xml:space="preserve">Материальные расходы (4.1.)</t>
  </si>
  <si>
    <t xml:space="preserve">Покупная э/э (4.1.)</t>
  </si>
  <si>
    <t xml:space="preserve">ФОТ (4.1.)</t>
  </si>
  <si>
    <t xml:space="preserve">Доля сальдо дебиторской задолженности в объеме выручки</t>
  </si>
  <si>
    <t xml:space="preserve">На основании изложенного Минэнерго России считает возможным согласование финансирования инвестиционной программы в заявленных объемах по результатам предоставления дополнительной информации и устранения замечаний.</t>
  </si>
  <si>
    <t xml:space="preserve">Приложение  № 8</t>
  </si>
  <si>
    <t xml:space="preserve">к приказу МЖКХиЭ НСО</t>
  </si>
  <si>
    <t xml:space="preserve">от 20.10.2023 № 171-нпа</t>
  </si>
  <si>
    <t xml:space="preserve">Форма № ___ Финансовый план субъекта электроэнергетики</t>
  </si>
  <si>
    <t xml:space="preserve">Инвестиционная программа ООО "НГСК"</t>
  </si>
  <si>
    <t xml:space="preserve">                          полное наименование субъекта электроэнергетики</t>
  </si>
  <si>
    <t xml:space="preserve">Субъект Российской Федерации: Новосибирская область</t>
  </si>
  <si>
    <r>
      <t xml:space="preserve">                    Год раскрытия (предоставления) информации:</t>
    </r>
    <r>
      <rPr>
        <u val="single"/>
        <sz val="14"/>
        <color indexed="64"/>
        <rFont val="Times New Roman"/>
      </rPr>
      <t xml:space="preserve"> 2020 </t>
    </r>
    <r>
      <rPr>
        <sz val="14"/>
        <color indexed="64"/>
        <rFont val="Times New Roman"/>
      </rPr>
      <t>год</t>
    </r>
  </si>
  <si>
    <t xml:space="preserve">Утвержденные плановые значения показателей приведены в соответствии </t>
  </si>
  <si>
    <t xml:space="preserve">    реквизиты решения органа исполнительной власти, утвердившего инвестиционную программу</t>
  </si>
  <si>
    <t xml:space="preserve">1. Финансово-экономическая модель деятельности субъекта электроэнергетики </t>
  </si>
  <si>
    <t>Показатель</t>
  </si>
  <si>
    <t xml:space="preserve">Ед. изм.</t>
  </si>
  <si>
    <t xml:space="preserve">2014 год</t>
  </si>
  <si>
    <t xml:space="preserve">2019 год</t>
  </si>
  <si>
    <t xml:space="preserve">2020 год</t>
  </si>
  <si>
    <t xml:space="preserve">2021 год</t>
  </si>
  <si>
    <t xml:space="preserve">2022 год</t>
  </si>
  <si>
    <t xml:space="preserve">2023 год</t>
  </si>
  <si>
    <t xml:space="preserve">2024 год</t>
  </si>
  <si>
    <t xml:space="preserve">2025 год</t>
  </si>
  <si>
    <t xml:space="preserve">Итого за период реализации инвестиционной программы 2021-2025 гг.</t>
  </si>
  <si>
    <t>Факт</t>
  </si>
  <si>
    <t>ФАКТ</t>
  </si>
  <si>
    <t xml:space="preserve">Утвержденный план</t>
  </si>
  <si>
    <t xml:space="preserve">Предложение по корректировке  утвержденного плана</t>
  </si>
  <si>
    <t>План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</si>
  <si>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</si>
  <si>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</si>
  <si>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</si>
  <si>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</si>
  <si>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</si>
  <si>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</si>
  <si>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</si>
  <si>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</si>
  <si>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</si>
  <si>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</si>
  <si>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</si>
  <si>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</si>
  <si>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</si>
  <si>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19</t>
  </si>
  <si>
    <t>20</t>
  </si>
  <si>
    <t xml:space="preserve">БЮДЖЕТ ДОХОДОВ И РАСХОДОВ</t>
  </si>
  <si>
    <t>I</t>
  </si>
  <si>
    <t xml:space="preserve">Выручка от реализации товаров (работ, услуг) всего, в том числе*:</t>
  </si>
  <si>
    <t xml:space="preserve">млн рублей</t>
  </si>
  <si>
    <t xml:space="preserve">Производство и поставка электрической энергии и мощности всего, в том числе: </t>
  </si>
  <si>
    <t xml:space="preserve">производство и поставка электрической энергии на оптовом рынке электрической энергии и мощности</t>
  </si>
  <si>
    <t xml:space="preserve">производство и поставка электрической мощности на оптовом рынке электрической энергии и мощности</t>
  </si>
  <si>
    <t xml:space="preserve">производство и поставка электрической энергии (мощности) на розничных рынках электрической энергии</t>
  </si>
  <si>
    <t xml:space="preserve">Производство и поставка тепловой энергии (мощности)</t>
  </si>
  <si>
    <t xml:space="preserve">Оказание услуг по передаче электрической энергии</t>
  </si>
  <si>
    <t xml:space="preserve">Оказание услуг по передаче тепловой энергии, теплоносителя</t>
  </si>
  <si>
    <t xml:space="preserve">Оказание услуг по технологическому присоединению</t>
  </si>
  <si>
    <t>1.6</t>
  </si>
  <si>
    <t xml:space="preserve">Реализация электрической энергии и мощности</t>
  </si>
  <si>
    <t>1.7</t>
  </si>
  <si>
    <t xml:space="preserve">Реализации тепловой энергии (мощности)</t>
  </si>
  <si>
    <t>1.8</t>
  </si>
  <si>
    <t xml:space="preserve">Оказание услуг по оперативно-диспетчерскому управлению в электроэнергетике всего, в том числе:</t>
  </si>
  <si>
    <t>1.8.1</t>
  </si>
  <si>
    <t xml:space="preserve">в части управления технологическими режимами </t>
  </si>
  <si>
    <t>1.8.2</t>
  </si>
  <si>
    <t xml:space="preserve">в части обеспечения надежности</t>
  </si>
  <si>
    <t>1.9</t>
  </si>
  <si>
    <t xml:space="preserve">Прочая деятельность</t>
  </si>
  <si>
    <t>II</t>
  </si>
  <si>
    <t xml:space="preserve">Себестоимость товаров (работ, услуг), коммерческие и управленческие расходы всего, в том числе:</t>
  </si>
  <si>
    <t>2.1.1</t>
  </si>
  <si>
    <t>2.1.2</t>
  </si>
  <si>
    <t>2.1.3</t>
  </si>
  <si>
    <t>2.8</t>
  </si>
  <si>
    <t>2.8.1</t>
  </si>
  <si>
    <t>2.8.2</t>
  </si>
  <si>
    <t>2.9</t>
  </si>
  <si>
    <t>II.I</t>
  </si>
  <si>
    <t xml:space="preserve">Материальные расходы всего, в том числе:</t>
  </si>
  <si>
    <t xml:space="preserve">расходы на топливо на технологические цели</t>
  </si>
  <si>
    <t xml:space="preserve">покупная энергия, в том числе:</t>
  </si>
  <si>
    <t>2.1.2.1</t>
  </si>
  <si>
    <t xml:space="preserve">покупная электрическая энергия (мощность) всего, в том числе:</t>
  </si>
  <si>
    <t>2.1.2.1.1</t>
  </si>
  <si>
    <t xml:space="preserve">на технологические цели, включая энергию на компенсацию потерь при ее передаче</t>
  </si>
  <si>
    <t>2.1.2.1.2</t>
  </si>
  <si>
    <t xml:space="preserve">для последующей перепродажи</t>
  </si>
  <si>
    <t>2.1.2.2</t>
  </si>
  <si>
    <t xml:space="preserve">покупная тепловая энергия (мощность)</t>
  </si>
  <si>
    <t xml:space="preserve">сырье, материалы, запасные части, инструменты</t>
  </si>
  <si>
    <t>2.1.4</t>
  </si>
  <si>
    <t xml:space="preserve">прочие материальные расходы</t>
  </si>
  <si>
    <t>II.II</t>
  </si>
  <si>
    <t xml:space="preserve">Работы и услуги производственного характера всего, в том числе:</t>
  </si>
  <si>
    <t>2.2.1</t>
  </si>
  <si>
    <t xml:space="preserve">услуги по передаче электрической энергии по единой (национальной) общероссийской электрической сети</t>
  </si>
  <si>
    <t>2.2.2</t>
  </si>
  <si>
    <t xml:space="preserve">услуги по передаче электрической энергии по сетям территориальной сетевой организации</t>
  </si>
  <si>
    <t>2.2.3</t>
  </si>
  <si>
    <t xml:space="preserve">услуги по передаче тепловой энергии, теплоносителя</t>
  </si>
  <si>
    <t>2.2.4</t>
  </si>
  <si>
    <t xml:space="preserve">услуги инфраструктурных организаций*****</t>
  </si>
  <si>
    <t>2.2.5</t>
  </si>
  <si>
    <t xml:space="preserve">прочие услуги производственного характера</t>
  </si>
  <si>
    <t>II.III</t>
  </si>
  <si>
    <t xml:space="preserve">Расходы на оплату труда с учетом страховых взносов</t>
  </si>
  <si>
    <t>II.IV</t>
  </si>
  <si>
    <t xml:space="preserve">Амортизация основных средств и нематериальных активов</t>
  </si>
  <si>
    <t>II.V</t>
  </si>
  <si>
    <t xml:space="preserve">Налоги и сборы всего, в том числе:</t>
  </si>
  <si>
    <t>2.5.1</t>
  </si>
  <si>
    <t xml:space="preserve">налог на имущество организации</t>
  </si>
  <si>
    <t>2.5.2</t>
  </si>
  <si>
    <t xml:space="preserve">прочие налоги и сборы</t>
  </si>
  <si>
    <t>II.VI</t>
  </si>
  <si>
    <t xml:space="preserve">Прочие расходы всего, в том числе:</t>
  </si>
  <si>
    <t>2.6.1</t>
  </si>
  <si>
    <t xml:space="preserve">работы и услуги непроизводственного характера</t>
  </si>
  <si>
    <t>2.6.2</t>
  </si>
  <si>
    <t xml:space="preserve">арендная плата, лизинговые платежи</t>
  </si>
  <si>
    <t>2.6.3</t>
  </si>
  <si>
    <t xml:space="preserve">иные прочие расходы</t>
  </si>
  <si>
    <t>II.VII</t>
  </si>
  <si>
    <t xml:space="preserve">Иные сведения:</t>
  </si>
  <si>
    <t>2.7.1</t>
  </si>
  <si>
    <t xml:space="preserve">Расходы на ремонт</t>
  </si>
  <si>
    <t>2.7.2</t>
  </si>
  <si>
    <t xml:space="preserve">Коммерческие расходы</t>
  </si>
  <si>
    <t>2.7.3</t>
  </si>
  <si>
    <t xml:space="preserve">Управленческие расходы</t>
  </si>
  <si>
    <t>III</t>
  </si>
  <si>
    <t xml:space="preserve">Прибыль (убыток) от продаж (строка I - строка II) всего, в том числе:</t>
  </si>
  <si>
    <t>3.1</t>
  </si>
  <si>
    <t>3.1.1</t>
  </si>
  <si>
    <t>3.1.2</t>
  </si>
  <si>
    <t>3.1.3</t>
  </si>
  <si>
    <t>3.2</t>
  </si>
  <si>
    <t>3.3</t>
  </si>
  <si>
    <t>3.4</t>
  </si>
  <si>
    <t>3.5</t>
  </si>
  <si>
    <t>3.6</t>
  </si>
  <si>
    <t>3.7</t>
  </si>
  <si>
    <t>3.8</t>
  </si>
  <si>
    <t>3.8.1</t>
  </si>
  <si>
    <t>3.8.2</t>
  </si>
  <si>
    <t>3.9</t>
  </si>
  <si>
    <t>IV</t>
  </si>
  <si>
    <t xml:space="preserve">Прочие доходы и расходы (сальдо) (строка 4.1 – строка 4.2)</t>
  </si>
  <si>
    <t>4.1</t>
  </si>
  <si>
    <t xml:space="preserve">Прочие доходы всего, в том числе:</t>
  </si>
  <si>
    <t>4.1.1</t>
  </si>
  <si>
    <t xml:space="preserve">доходы от участия в других организациях</t>
  </si>
  <si>
    <t>4.1.2</t>
  </si>
  <si>
    <t xml:space="preserve">проценты к получению</t>
  </si>
  <si>
    <t>4.1.3</t>
  </si>
  <si>
    <t xml:space="preserve">восстановление резервов всего, в том числе:</t>
  </si>
  <si>
    <t>4.1.3.1</t>
  </si>
  <si>
    <t xml:space="preserve">по сомнительным долгам</t>
  </si>
  <si>
    <t>4.1.4</t>
  </si>
  <si>
    <t xml:space="preserve">прочие внереализационные доходы</t>
  </si>
  <si>
    <t>4.2</t>
  </si>
  <si>
    <t>4.2.1</t>
  </si>
  <si>
    <t xml:space="preserve">расходы, связанные с персоналом</t>
  </si>
  <si>
    <t>4.2.2</t>
  </si>
  <si>
    <t xml:space="preserve">проценты к уплате</t>
  </si>
  <si>
    <t>4.2.3</t>
  </si>
  <si>
    <t xml:space="preserve">создание резервов всего, в том числе:</t>
  </si>
  <si>
    <t>4.2.3.1</t>
  </si>
  <si>
    <t xml:space="preserve"> по сомнительным долгам</t>
  </si>
  <si>
    <t>4.2.4</t>
  </si>
  <si>
    <t xml:space="preserve">прочие внереализационные расходы</t>
  </si>
  <si>
    <t>V</t>
  </si>
  <si>
    <t xml:space="preserve">Прибыль (убыток) до налогообложения (строка III + строка IV) всего, в том числе:</t>
  </si>
  <si>
    <t>5.1</t>
  </si>
  <si>
    <t xml:space="preserve">Производство и поставка электрической энергии на оптовом рынке электрической энергии и мощности</t>
  </si>
  <si>
    <t>5.1.1</t>
  </si>
  <si>
    <t>5.1.2</t>
  </si>
  <si>
    <t>5.1.3</t>
  </si>
  <si>
    <t>5.2</t>
  </si>
  <si>
    <t>5.3</t>
  </si>
  <si>
    <t>5.4</t>
  </si>
  <si>
    <t>5.5</t>
  </si>
  <si>
    <t>5.6</t>
  </si>
  <si>
    <t>5.7</t>
  </si>
  <si>
    <t>5.8</t>
  </si>
  <si>
    <t>5.8.1</t>
  </si>
  <si>
    <t>5.8.2</t>
  </si>
  <si>
    <t>5.9</t>
  </si>
  <si>
    <t>VI</t>
  </si>
  <si>
    <t xml:space="preserve">Налог на прибыль всего, в том числе:</t>
  </si>
  <si>
    <t>6.1</t>
  </si>
  <si>
    <t>6.1.1</t>
  </si>
  <si>
    <t>6.1.2</t>
  </si>
  <si>
    <t>6.1.3</t>
  </si>
  <si>
    <t>6.2</t>
  </si>
  <si>
    <t xml:space="preserve">Производство и поставка тепловой энергии (мощности);</t>
  </si>
  <si>
    <t>6.3</t>
  </si>
  <si>
    <t xml:space="preserve">Оказание услуг по передаче электрической энергии;</t>
  </si>
  <si>
    <t>6.4</t>
  </si>
  <si>
    <t xml:space="preserve">Оказание услуг по передаче тепловой энергии, теплоносителя;</t>
  </si>
  <si>
    <t>6.5</t>
  </si>
  <si>
    <t xml:space="preserve">Оказание услуг по технологическому присоединению;</t>
  </si>
  <si>
    <t>6.6</t>
  </si>
  <si>
    <t xml:space="preserve">Реализация электрической энергии и мощности;</t>
  </si>
  <si>
    <t>6.7</t>
  </si>
  <si>
    <t xml:space="preserve">Реализации тепловой энергии (мощности);</t>
  </si>
  <si>
    <t>6.8</t>
  </si>
  <si>
    <t>6.8.1</t>
  </si>
  <si>
    <t xml:space="preserve">в части управления технологическими режимами</t>
  </si>
  <si>
    <t>6.8.2</t>
  </si>
  <si>
    <t>6.9</t>
  </si>
  <si>
    <t xml:space="preserve">Прочая деятельность;</t>
  </si>
  <si>
    <t>VII</t>
  </si>
  <si>
    <t xml:space="preserve">Чистая прибыль (убыток) всего, в том числе:</t>
  </si>
  <si>
    <t>7.1</t>
  </si>
  <si>
    <t>7.1.1</t>
  </si>
  <si>
    <t>7.1.2</t>
  </si>
  <si>
    <t>7.1.3</t>
  </si>
  <si>
    <t>7.2</t>
  </si>
  <si>
    <t>7.3</t>
  </si>
  <si>
    <t>7.4</t>
  </si>
  <si>
    <t>7.5</t>
  </si>
  <si>
    <t>7.6</t>
  </si>
  <si>
    <t>7.7</t>
  </si>
  <si>
    <t>7.8</t>
  </si>
  <si>
    <t>7.8.1</t>
  </si>
  <si>
    <t>7.8.2</t>
  </si>
  <si>
    <t>7.9</t>
  </si>
  <si>
    <t>VIII</t>
  </si>
  <si>
    <t>8.1</t>
  </si>
  <si>
    <t xml:space="preserve">На инвестиции</t>
  </si>
  <si>
    <t>8.2</t>
  </si>
  <si>
    <t>8.3</t>
  </si>
  <si>
    <t>8.4</t>
  </si>
  <si>
    <t xml:space="preserve">Остаток на развитие</t>
  </si>
  <si>
    <t>IX</t>
  </si>
  <si>
    <t>9.1</t>
  </si>
  <si>
    <t xml:space="preserve">Прибыль до налогообложения без учета процентов к уплате и амортизации (строкаV + строка 4.2.2 + строка II.IV)</t>
  </si>
  <si>
    <t>9.2</t>
  </si>
  <si>
    <t xml:space="preserve">Долг (кредиты и займы) на начало периода всего, в том числе:</t>
  </si>
  <si>
    <t>9.2.1</t>
  </si>
  <si>
    <t xml:space="preserve">краткосрочные кредиты и займы на начало периода</t>
  </si>
  <si>
    <t>9.3</t>
  </si>
  <si>
    <t xml:space="preserve">Долг (кредиты и займы) на конец периода, в том числе</t>
  </si>
  <si>
    <t>9.3.1</t>
  </si>
  <si>
    <t xml:space="preserve">краткосрочные кредиты и займы на конец периода</t>
  </si>
  <si>
    <t>9.4</t>
  </si>
  <si>
    <t xml:space="preserve">Отношение долга (кредиты и займы) на конец периода (строка 9.3) к прибыли до налогообложения без учета процентов к уплате и амортизации (строка 9.1)</t>
  </si>
  <si>
    <t xml:space="preserve">БЮДЖЕТ ДВИЖЕНИЯ ДЕНЕЖНЫХ СРЕДСТВ</t>
  </si>
  <si>
    <t>X</t>
  </si>
  <si>
    <t xml:space="preserve">Поступления от текущих операций всего, в том числе:</t>
  </si>
  <si>
    <t>10.1</t>
  </si>
  <si>
    <t>10.1.1</t>
  </si>
  <si>
    <t>10.1.2</t>
  </si>
  <si>
    <t>10.1.3</t>
  </si>
  <si>
    <t>10.2</t>
  </si>
  <si>
    <t>10.3</t>
  </si>
  <si>
    <t>10.4</t>
  </si>
  <si>
    <t>10.5</t>
  </si>
  <si>
    <t>10.6</t>
  </si>
  <si>
    <t>10.7</t>
  </si>
  <si>
    <t>10.8</t>
  </si>
  <si>
    <t>10.8.1</t>
  </si>
  <si>
    <t>10.8.2</t>
  </si>
  <si>
    <t>10.9</t>
  </si>
  <si>
    <t xml:space="preserve">Поступления денежных средств за счет средств бюджетов бюджетной системы Российской Федерации (субсидия) всего, в том числе:</t>
  </si>
  <si>
    <t>10.9.1</t>
  </si>
  <si>
    <t xml:space="preserve">за счет средств федерального бюджета</t>
  </si>
  <si>
    <t>10.9.2</t>
  </si>
  <si>
    <t xml:space="preserve">за счет средств консолидированного бюджета субъекта Российской Федерации</t>
  </si>
  <si>
    <t>10.10</t>
  </si>
  <si>
    <t>XI</t>
  </si>
  <si>
    <t xml:space="preserve">Платежи по текущим операциям всего, в том числе:</t>
  </si>
  <si>
    <t>11.1</t>
  </si>
  <si>
    <t xml:space="preserve">Оплата поставщикам топлива</t>
  </si>
  <si>
    <t>11.2</t>
  </si>
  <si>
    <t xml:space="preserve">Оплата покупной энергии всего, в том числе:</t>
  </si>
  <si>
    <t>11.2.1</t>
  </si>
  <si>
    <t xml:space="preserve">на оптовом рынке электрической энергии и мощности</t>
  </si>
  <si>
    <t>11.2.2</t>
  </si>
  <si>
    <t xml:space="preserve">на розничных рынках электрической энергии</t>
  </si>
  <si>
    <t>11.2.3</t>
  </si>
  <si>
    <t xml:space="preserve">на компенсацию потерь</t>
  </si>
  <si>
    <t>11.3</t>
  </si>
  <si>
    <t xml:space="preserve">Оплата услуг по передаче электрической энергии по единой (национальной) общероссийской электрической сети</t>
  </si>
  <si>
    <t>11.4</t>
  </si>
  <si>
    <t xml:space="preserve">Оплата услуг по передаче электрической энергии по сетям территориальных сетевых организаций</t>
  </si>
  <si>
    <t>11.5</t>
  </si>
  <si>
    <t xml:space="preserve">Оплата услуг по передаче тепловой энергии, теплоносителя</t>
  </si>
  <si>
    <t>11.6</t>
  </si>
  <si>
    <t xml:space="preserve">Оплата труда</t>
  </si>
  <si>
    <t>11.7</t>
  </si>
  <si>
    <t xml:space="preserve">Страховые взносы</t>
  </si>
  <si>
    <t>11.8</t>
  </si>
  <si>
    <t xml:space="preserve">Оплата налогов и сборов всего, в том числе:</t>
  </si>
  <si>
    <t>11.8.1</t>
  </si>
  <si>
    <t xml:space="preserve">налог на прибыль</t>
  </si>
  <si>
    <t>11.9</t>
  </si>
  <si>
    <t xml:space="preserve">Оплата сырья, материалов, запасных частей, инструментов</t>
  </si>
  <si>
    <t>11.10</t>
  </si>
  <si>
    <t xml:space="preserve">Оплата прочих услуг производственного характера</t>
  </si>
  <si>
    <t>11.11</t>
  </si>
  <si>
    <t xml:space="preserve">Арендная плата и лизинговые платежи</t>
  </si>
  <si>
    <t>11.12</t>
  </si>
  <si>
    <t xml:space="preserve">Проценты по долговым обязательствам (за исключением процентов по долговым обязательствам, включаемым в стоимость инвестиционного актива)</t>
  </si>
  <si>
    <t>11.13</t>
  </si>
  <si>
    <t xml:space="preserve">Прочие платежи по текущей деятельности</t>
  </si>
  <si>
    <t>XII</t>
  </si>
  <si>
    <t xml:space="preserve">Поступления от инвестиционных операций всего, в том числе:</t>
  </si>
  <si>
    <t>12.1</t>
  </si>
  <si>
    <t xml:space="preserve">Поступления от реализации имущества и имущественных прав</t>
  </si>
  <si>
    <t>12.2</t>
  </si>
  <si>
    <t xml:space="preserve">Поступления по заключенным инвестиционным соглашениям, в том числе </t>
  </si>
  <si>
    <t>12.2.1</t>
  </si>
  <si>
    <t xml:space="preserve">по использованию средств бюджетов бюджетной системы Российской Федерации всего, в том числе:</t>
  </si>
  <si>
    <t>12.2.1.1</t>
  </si>
  <si>
    <t xml:space="preserve">средства федерального бюджета</t>
  </si>
  <si>
    <t>12.2.1.2</t>
  </si>
  <si>
    <t xml:space="preserve">средства консолидированного бюджета субъекта Российской Федерации</t>
  </si>
  <si>
    <t>12.3</t>
  </si>
  <si>
    <t xml:space="preserve">Прочие поступления по инвестиционным операциям</t>
  </si>
  <si>
    <t>XIII</t>
  </si>
  <si>
    <t xml:space="preserve">Платежи по инвестиционным операциям всего, в том числе:</t>
  </si>
  <si>
    <t>13.1</t>
  </si>
  <si>
    <t xml:space="preserve">Инвестиции в основной капитал всего, в том числе:</t>
  </si>
  <si>
    <t>13.1.1</t>
  </si>
  <si>
    <t xml:space="preserve">техническое перевооружение и реконструкция</t>
  </si>
  <si>
    <t>13.1.2</t>
  </si>
  <si>
    <t xml:space="preserve">новое строительство и расширение</t>
  </si>
  <si>
    <t>13.1.3</t>
  </si>
  <si>
    <t xml:space="preserve">проектно-изыскательные работы для объектов нового строительства будущих лет</t>
  </si>
  <si>
    <t>13.1.4</t>
  </si>
  <si>
    <t xml:space="preserve">приобретение объектов основных средств, земельных участков</t>
  </si>
  <si>
    <t>13.1.5</t>
  </si>
  <si>
    <t xml:space="preserve">проведение научно-исследовательских и опытно-конструкторских разработок</t>
  </si>
  <si>
    <t>13.1.6</t>
  </si>
  <si>
    <t xml:space="preserve">прочие выплаты, связанные с инвестициями в основной капитал</t>
  </si>
  <si>
    <t>13.2</t>
  </si>
  <si>
    <t xml:space="preserve">Приобретение нематериальных активов</t>
  </si>
  <si>
    <t>13.3</t>
  </si>
  <si>
    <t xml:space="preserve">Прочие платежи по инвестиционным операциям всего, в том числе:</t>
  </si>
  <si>
    <t>13.4</t>
  </si>
  <si>
    <t>13.4.1</t>
  </si>
  <si>
    <t xml:space="preserve">проценты по долговым обязательствам, включаемым в стоимость инвестиционного актива</t>
  </si>
  <si>
    <t>XIV</t>
  </si>
  <si>
    <t xml:space="preserve">Поступления от финансовых операций всего, в том числе:</t>
  </si>
  <si>
    <t>14.1</t>
  </si>
  <si>
    <t xml:space="preserve">Процентные поступления</t>
  </si>
  <si>
    <t>14.2</t>
  </si>
  <si>
    <t xml:space="preserve">Поступления  по полученным кредитам всего, в том числе:</t>
  </si>
  <si>
    <t>14.2.1</t>
  </si>
  <si>
    <t xml:space="preserve">на текущую деятельность</t>
  </si>
  <si>
    <t>14.2.2</t>
  </si>
  <si>
    <t xml:space="preserve">на инвестиционные операции</t>
  </si>
  <si>
    <t>14.2.3</t>
  </si>
  <si>
    <t xml:space="preserve">на рефинансирование кредитов и займов</t>
  </si>
  <si>
    <t>14.3</t>
  </si>
  <si>
    <t xml:space="preserve">Поступления от эмиссии акций**</t>
  </si>
  <si>
    <t>14.4</t>
  </si>
  <si>
    <t xml:space="preserve">Поступления от реализации финансовых инструментов всего, в том числе:</t>
  </si>
  <si>
    <t>14.4.1</t>
  </si>
  <si>
    <t xml:space="preserve">облигационные займы</t>
  </si>
  <si>
    <t>14.4.2</t>
  </si>
  <si>
    <t>вексели</t>
  </si>
  <si>
    <t>14.5</t>
  </si>
  <si>
    <t xml:space="preserve">Поступления от займов организаций</t>
  </si>
  <si>
    <t>14.6</t>
  </si>
  <si>
    <t xml:space="preserve">Поступления за счет средств инвесторов</t>
  </si>
  <si>
    <t>14.7</t>
  </si>
  <si>
    <t xml:space="preserve">Прочие поступления по финансовым операциям</t>
  </si>
  <si>
    <t>XV</t>
  </si>
  <si>
    <t xml:space="preserve">Платежи по финансовым операциям всего, в том числе:</t>
  </si>
  <si>
    <t>15.1</t>
  </si>
  <si>
    <t xml:space="preserve">Уплата процентов по привлеченным кредитам и займам</t>
  </si>
  <si>
    <t>15.2</t>
  </si>
  <si>
    <t xml:space="preserve">Погашение кредитов и займов всего всего, в том числе:</t>
  </si>
  <si>
    <t>15.2.1</t>
  </si>
  <si>
    <t>15.2.2</t>
  </si>
  <si>
    <t>15.2.3</t>
  </si>
  <si>
    <t>15.3</t>
  </si>
  <si>
    <t>15.4</t>
  </si>
  <si>
    <t xml:space="preserve">Прочие выплаты по финансовым операциям</t>
  </si>
  <si>
    <t>XVI</t>
  </si>
  <si>
    <t xml:space="preserve">Сальдо денежных средств по операционной деятельности (строка X-строка XI) всего, в том числе:</t>
  </si>
  <si>
    <t>XVII</t>
  </si>
  <si>
    <t xml:space="preserve">Сальдо денежных средств по инвестиционным операциям всего (строка XII-строка XIII), всего в том числе </t>
  </si>
  <si>
    <t>17.1</t>
  </si>
  <si>
    <t xml:space="preserve">Сальдо денежных средств по инвестиционным операциям</t>
  </si>
  <si>
    <t>17.2</t>
  </si>
  <si>
    <t xml:space="preserve">Сальдо денежных средств по прочей деятельности</t>
  </si>
  <si>
    <t>XVIII</t>
  </si>
  <si>
    <t xml:space="preserve">Сальдо денежных средств по финансовым операциям всего (строка XIV-строка XV), в том числе</t>
  </si>
  <si>
    <t>18.1</t>
  </si>
  <si>
    <t xml:space="preserve">Сальдо денежных средств по привлечению и погашению кредитов и займов</t>
  </si>
  <si>
    <t>18.2</t>
  </si>
  <si>
    <t xml:space="preserve">Сальдо денежных средств по прочей финансовой деятельности</t>
  </si>
  <si>
    <t>XIX</t>
  </si>
  <si>
    <t xml:space="preserve">Сальдо денежных средств от транзитных операций</t>
  </si>
  <si>
    <t>XX</t>
  </si>
  <si>
    <t xml:space="preserve">Итого сальдо денежных средств (строка XVI+строка XVII+строка XVIII+строка XIX)</t>
  </si>
  <si>
    <t>XXI</t>
  </si>
  <si>
    <t xml:space="preserve">Остаток денежных средств на начало периода</t>
  </si>
  <si>
    <t>XXII</t>
  </si>
  <si>
    <t>XXIII</t>
  </si>
  <si>
    <t>23.1</t>
  </si>
  <si>
    <t xml:space="preserve">Дебиторская задолженность на конец периода всего, в том числе:</t>
  </si>
  <si>
    <t>23.1.1</t>
  </si>
  <si>
    <t xml:space="preserve">производство и поставка электрической энергии и мощности всего, в том числе: </t>
  </si>
  <si>
    <t>23.1.1.а</t>
  </si>
  <si>
    <t xml:space="preserve">из нее просроченная</t>
  </si>
  <si>
    <t>23.1.1.1</t>
  </si>
  <si>
    <t xml:space="preserve">производство и поставка электрической энергии на оптовом рынке электрической энергиии и мощности</t>
  </si>
  <si>
    <t>23.1.1.1.а</t>
  </si>
  <si>
    <t>23.1.1.2</t>
  </si>
  <si>
    <t>23.1.1.2.а</t>
  </si>
  <si>
    <t>23.1.1.3</t>
  </si>
  <si>
    <t>23.1.1.3.а</t>
  </si>
  <si>
    <t>23.1.2</t>
  </si>
  <si>
    <t xml:space="preserve">производство и поставка тепловой энергии (мощности)</t>
  </si>
  <si>
    <t>23.1.2.а</t>
  </si>
  <si>
    <t>23.1.3</t>
  </si>
  <si>
    <t xml:space="preserve">оказание услуг по передаче электрической энергии</t>
  </si>
  <si>
    <t>23.1.3.а</t>
  </si>
  <si>
    <t>23.1.4</t>
  </si>
  <si>
    <t xml:space="preserve">оказание услуг по передаче тепловой энергии, теплоносителя</t>
  </si>
  <si>
    <t>23.1.4.а</t>
  </si>
  <si>
    <t>23.1.5</t>
  </si>
  <si>
    <t xml:space="preserve">оказание услуг по технологическому присоединению</t>
  </si>
  <si>
    <t>23.1.5.а</t>
  </si>
  <si>
    <t>23.1.7</t>
  </si>
  <si>
    <t xml:space="preserve">реализация электрической энергии и мощности</t>
  </si>
  <si>
    <t>23.1.6.а</t>
  </si>
  <si>
    <t xml:space="preserve">реализации тепловой энергии (мощности)</t>
  </si>
  <si>
    <t>23.1.7.а</t>
  </si>
  <si>
    <t>23.1.8</t>
  </si>
  <si>
    <t xml:space="preserve">оказание услуг по оперативно-диспетчерскому управлению в электроэнергетике всего, в том числе:</t>
  </si>
  <si>
    <t>23.1.8.а</t>
  </si>
  <si>
    <t>23.1.8.1</t>
  </si>
  <si>
    <t>23.1.8.1.а</t>
  </si>
  <si>
    <t>23.1.8.2</t>
  </si>
  <si>
    <t>23.1.8.2.а</t>
  </si>
  <si>
    <t>23.1.9</t>
  </si>
  <si>
    <t xml:space="preserve">прочая деятельность</t>
  </si>
  <si>
    <t>23.1.9.а</t>
  </si>
  <si>
    <t>23.2</t>
  </si>
  <si>
    <t xml:space="preserve">Кредиторская задолженность на конец периода всего, в том числе:</t>
  </si>
  <si>
    <t>23.2.1</t>
  </si>
  <si>
    <t xml:space="preserve">поставщикам топлива на технологические цели</t>
  </si>
  <si>
    <t>23.2.1.а</t>
  </si>
  <si>
    <t>23.2.2</t>
  </si>
  <si>
    <t xml:space="preserve">поставщикам покупной энергии всего, в том числе:</t>
  </si>
  <si>
    <t>23.2.2.1</t>
  </si>
  <si>
    <t>23.2.2.1.а</t>
  </si>
  <si>
    <t>23.2.2.2</t>
  </si>
  <si>
    <t xml:space="preserve">на розничных рынках</t>
  </si>
  <si>
    <t>23.2.2.2.а</t>
  </si>
  <si>
    <t>23.2.3</t>
  </si>
  <si>
    <t xml:space="preserve">по оплате услуг на передачу электрической энергии по единой (национальной) общероссийской электрической сети</t>
  </si>
  <si>
    <t>23.2.3.а</t>
  </si>
  <si>
    <t>23.2.4</t>
  </si>
  <si>
    <t xml:space="preserve">по оплате услуг территориальных сетевых организаций</t>
  </si>
  <si>
    <t>23.2.4.а</t>
  </si>
  <si>
    <t>23.2.5</t>
  </si>
  <si>
    <t xml:space="preserve">перед персоналом по оплате труда</t>
  </si>
  <si>
    <t>23.2.5.а</t>
  </si>
  <si>
    <t>23.2.6</t>
  </si>
  <si>
    <t xml:space="preserve">перед бюджетами и внебюджетными фондами</t>
  </si>
  <si>
    <t>23.2.6.а</t>
  </si>
  <si>
    <t>23.2.7</t>
  </si>
  <si>
    <t xml:space="preserve">по договорам технологического присоединения</t>
  </si>
  <si>
    <t>23.2.7.а</t>
  </si>
  <si>
    <t>23.2.8</t>
  </si>
  <si>
    <t xml:space="preserve">по обязательствам перед поставщиками и подрядчиками по исполнению инвестиционной программы </t>
  </si>
  <si>
    <t>23.2.8.а</t>
  </si>
  <si>
    <t>23.2.9</t>
  </si>
  <si>
    <t xml:space="preserve">прочая кредиторская задолженность</t>
  </si>
  <si>
    <t>23.2.9.а</t>
  </si>
  <si>
    <t>23.3</t>
  </si>
  <si>
    <t xml:space="preserve">Отношение поступлений денежных средств к выручке от реализованных товаров и оказанных услуг (с учетом НДС) всего, в том числе:</t>
  </si>
  <si>
    <t>%</t>
  </si>
  <si>
    <t>23.3.1</t>
  </si>
  <si>
    <t xml:space="preserve">от производства и поставки электрической энергии и мощности</t>
  </si>
  <si>
    <t>23.3.1.1</t>
  </si>
  <si>
    <t xml:space="preserve">от производства и поставки электрической энергии на оптовом рынке электрической энергии и мощности</t>
  </si>
  <si>
    <t>23.3.1.2</t>
  </si>
  <si>
    <t xml:space="preserve">от производства и поставки электрической мощности на оптовом рынке электрической энергии и мощности</t>
  </si>
  <si>
    <t>23.3.1.3</t>
  </si>
  <si>
    <t xml:space="preserve">от производства и поставки электрической энергии (мощности) на розничных рынках электрической энергии</t>
  </si>
  <si>
    <t>23.3.2</t>
  </si>
  <si>
    <t xml:space="preserve">от производства и поставки тепловой энергии (мощности)</t>
  </si>
  <si>
    <t>23.3.3</t>
  </si>
  <si>
    <t xml:space="preserve">от оказания услуг по передаче электрической энергии</t>
  </si>
  <si>
    <t>23.3.4</t>
  </si>
  <si>
    <t xml:space="preserve">от оказания услуг по передаче тепловой энергии, теплоносителя</t>
  </si>
  <si>
    <t>23.3.5</t>
  </si>
  <si>
    <t xml:space="preserve">от оказания услуг по технологическому присоединению</t>
  </si>
  <si>
    <t>23.3.6</t>
  </si>
  <si>
    <t xml:space="preserve">от реализации электрической энергии и мощности</t>
  </si>
  <si>
    <t>23.3.7</t>
  </si>
  <si>
    <t xml:space="preserve">от реализации тепловой энергии (мощности)</t>
  </si>
  <si>
    <t>23.3.8</t>
  </si>
  <si>
    <t xml:space="preserve">от оказания услуг по оперативно-диспетчерскому управлению в электроэнергетике всего, в том числе:</t>
  </si>
  <si>
    <t>23.3.8.1</t>
  </si>
  <si>
    <t>23.3.8.2</t>
  </si>
  <si>
    <t xml:space="preserve">ТЕХНИКО-ЭКОНОМИЧЕСКИЕ ПОКАЗАТЕЛИ</t>
  </si>
  <si>
    <t>XXIV</t>
  </si>
  <si>
    <t xml:space="preserve">В отношении деятельности по производству электрической, тепловой энергии (мощности)</t>
  </si>
  <si>
    <t>x</t>
  </si>
  <si>
    <t>24.1</t>
  </si>
  <si>
    <t xml:space="preserve">Установленная электрическая мощность</t>
  </si>
  <si>
    <t>МВт</t>
  </si>
  <si>
    <t>24.2</t>
  </si>
  <si>
    <t xml:space="preserve">Установленная тепловая мощность</t>
  </si>
  <si>
    <t>Гкал/час</t>
  </si>
  <si>
    <t>24.3</t>
  </si>
  <si>
    <t xml:space="preserve">Располагаемая электрическая мощность</t>
  </si>
  <si>
    <t>24.4</t>
  </si>
  <si>
    <t xml:space="preserve">Присоединенная тепловая мощность</t>
  </si>
  <si>
    <t>24.5</t>
  </si>
  <si>
    <t xml:space="preserve">Объем выработанной электрической энергии</t>
  </si>
  <si>
    <t>млн.кВт.ч</t>
  </si>
  <si>
    <t>24.6</t>
  </si>
  <si>
    <t xml:space="preserve">Объем продукции отпущенной с шин (коллекторов)</t>
  </si>
  <si>
    <t>24.6.1</t>
  </si>
  <si>
    <t xml:space="preserve">электрической энергии</t>
  </si>
  <si>
    <t>24.6.2</t>
  </si>
  <si>
    <t xml:space="preserve">тепловой энергии</t>
  </si>
  <si>
    <t>тыс.Гкал</t>
  </si>
  <si>
    <t>24.7</t>
  </si>
  <si>
    <t xml:space="preserve">Объем покупной продукции для последующей продажи</t>
  </si>
  <si>
    <t>24.7.1</t>
  </si>
  <si>
    <t>24.7.2</t>
  </si>
  <si>
    <t xml:space="preserve">электрической мощности</t>
  </si>
  <si>
    <t>24.7.3</t>
  </si>
  <si>
    <t>24.8</t>
  </si>
  <si>
    <t xml:space="preserve">Объем покупной продукции на технологические цели</t>
  </si>
  <si>
    <t>24.8.1</t>
  </si>
  <si>
    <t>24.8.2</t>
  </si>
  <si>
    <t>24.9</t>
  </si>
  <si>
    <t xml:space="preserve">Объем продукции отпущенной (проданной) потребителям</t>
  </si>
  <si>
    <t>24.9.1</t>
  </si>
  <si>
    <t>24.9.2</t>
  </si>
  <si>
    <t>24.9.3</t>
  </si>
  <si>
    <t>XXV</t>
  </si>
  <si>
    <t xml:space="preserve">В отношении деятельности по передаче электрической энергии</t>
  </si>
  <si>
    <t>25.1</t>
  </si>
  <si>
    <t xml:space="preserve">Объем отпуска электрической энергии из сети (полезный отпуск) всего, в том числе:</t>
  </si>
  <si>
    <t>25.1.1</t>
  </si>
  <si>
    <t xml:space="preserve">потребителям, присоединенным к единой (национальной) общероссийской электрической сети всего, в том числе:</t>
  </si>
  <si>
    <t>25.1.1.1</t>
  </si>
  <si>
    <t xml:space="preserve">территориальные сетевые организации</t>
  </si>
  <si>
    <t>25.1.1.2</t>
  </si>
  <si>
    <t xml:space="preserve">потребители, не являющиеся территориальными сетевыми организациями</t>
  </si>
  <si>
    <t>25.2</t>
  </si>
  <si>
    <t xml:space="preserve">Объем технологического расхода (потерь) при передаче электрической энергии</t>
  </si>
  <si>
    <t>25.3</t>
  </si>
  <si>
    <t xml:space="preserve">Заявленная мощность***/фактическая мощность всего, в том числе:</t>
  </si>
  <si>
    <t>25.3.1</t>
  </si>
  <si>
    <t xml:space="preserve">потребителей, присоединенных к единой (национальной) общероссийской электрической сети всего, в том числе:</t>
  </si>
  <si>
    <t>25.3.1.1</t>
  </si>
  <si>
    <t>25.3.1.2</t>
  </si>
  <si>
    <t>25.4</t>
  </si>
  <si>
    <t xml:space="preserve">Количество условных единиц обслуживаемого электросетевого оборудования</t>
  </si>
  <si>
    <t>у.е.</t>
  </si>
  <si>
    <t>25.5</t>
  </si>
  <si>
    <t xml:space="preserve">Неободимая валовая выручка сетевой организации в части содержания (строка 1.3-строка 2.2.1-строка 2.2.2-строка 2.1.2.1.1)</t>
  </si>
  <si>
    <t>XXVI</t>
  </si>
  <si>
    <t xml:space="preserve">В отношении сбытовой деятельности</t>
  </si>
  <si>
    <t>26.1</t>
  </si>
  <si>
    <t xml:space="preserve">Полезный отпуск электрической энергии потребителям</t>
  </si>
  <si>
    <t>26.2</t>
  </si>
  <si>
    <t xml:space="preserve">Отпуск тепловой энергии потребителям</t>
  </si>
  <si>
    <t>26.3</t>
  </si>
  <si>
    <t xml:space="preserve">Необходимая валовая выручка сбытовой организации без учета покупной электрической энергии (мощности) для последующей перепродажи и оплаты услуг по передаче электрической энергии </t>
  </si>
  <si>
    <t>26.4</t>
  </si>
  <si>
    <t xml:space="preserve">Необходимая валовая выручка сбытовой организации без учета затрат на покупку тепловой энергии и оплаты услуг по ее передаче</t>
  </si>
  <si>
    <t>XXVII</t>
  </si>
  <si>
    <t xml:space="preserve">В отношении деятельности по оперативно-диспетчерскому управлению</t>
  </si>
  <si>
    <t>27.1</t>
  </si>
  <si>
    <t xml:space="preserve">Установленная мощность в Единой энергетической системе России, в том числе</t>
  </si>
  <si>
    <t>27.1.1</t>
  </si>
  <si>
    <t xml:space="preserve">установленная электрическая мощность электростанций, входящих в Единую энергетическую систему России, осуществляющих деятельность по производству электрической энергии и продаваемой на оптовом рынке</t>
  </si>
  <si>
    <t>27.1.2</t>
  </si>
  <si>
    <t xml:space="preserve">установленная электрическая мощность электростанций, входящих в Единую энергетическую систему России, осуществляющих деятельность по производству электрической энергии и продаваемой на розничном рынке</t>
  </si>
  <si>
    <t>27.1.3</t>
  </si>
  <si>
    <t xml:space="preserve">средняя мощность поставки электрической энергии по группам точек поставки импорта на оптовом рынке</t>
  </si>
  <si>
    <t>27.2</t>
  </si>
  <si>
    <t xml:space="preserve">Объем потребления в Единой энергетической системе России, в том числе</t>
  </si>
  <si>
    <t>27.2.1</t>
  </si>
  <si>
    <t xml:space="preserve">суммарный объем потребления (покупки) электрической энергии по всем группам точек поставки, зарегистрированным на оптовом рынке</t>
  </si>
  <si>
    <t>27.2.2</t>
  </si>
  <si>
    <t xml:space="preserve">суммарный объем поставки электрической энергии на экспорт из России</t>
  </si>
  <si>
    <t>27.3</t>
  </si>
  <si>
    <t xml:space="preserve">Собственная необходимая валовая выручка субъекта оперативно-диспетчерского управления, всего в том числе</t>
  </si>
  <si>
    <t>27.3.1</t>
  </si>
  <si>
    <t xml:space="preserve"> в части управления технологическими режимами </t>
  </si>
  <si>
    <t>27.3.2</t>
  </si>
  <si>
    <t>XXVIII</t>
  </si>
  <si>
    <t xml:space="preserve">Среднесписочная численность работников</t>
  </si>
  <si>
    <t>чел</t>
  </si>
  <si>
    <t xml:space="preserve">2 Источники финансирования инвестиционной программы субъекта электроэнергетики </t>
  </si>
  <si>
    <t xml:space="preserve">Прогноз (Факт)</t>
  </si>
  <si>
    <t xml:space="preserve">Источники финансирования инвестиционной программы всего (строка I+строка II) всего, в том числе::</t>
  </si>
  <si>
    <t xml:space="preserve">Собственные средства всего, в том числе:</t>
  </si>
  <si>
    <t xml:space="preserve">полученная от реализации продукции и оказанных услуг по регулируемым ценам (тарифам):</t>
  </si>
  <si>
    <t>1.1.1.1</t>
  </si>
  <si>
    <t xml:space="preserve">производства и поставки электрической энергии и мощности</t>
  </si>
  <si>
    <t>1.1.1.1.1</t>
  </si>
  <si>
    <t>1.1.1.1.2</t>
  </si>
  <si>
    <t>1.1.1.1.3</t>
  </si>
  <si>
    <t>1.1.1.2</t>
  </si>
  <si>
    <t xml:space="preserve">производства и поставки тепловой энергии (мощности)</t>
  </si>
  <si>
    <t>1.1.1.3</t>
  </si>
  <si>
    <t xml:space="preserve">оказания услуг по передаче электрической энергии</t>
  </si>
  <si>
    <t>1.1.1.4</t>
  </si>
  <si>
    <t xml:space="preserve">оказания услуг по передаче тепловой энергии, теплоносителя</t>
  </si>
  <si>
    <t>1.1.1.5</t>
  </si>
  <si>
    <t>1.1.1.5.1</t>
  </si>
  <si>
    <t xml:space="preserve">от технологического присоединения объектов по производству электрической и тепловой энергии</t>
  </si>
  <si>
    <t>1.1.1.5.1.а</t>
  </si>
  <si>
    <t xml:space="preserve">    авансовое использование прибыли</t>
  </si>
  <si>
    <t>1.1.1.5.2</t>
  </si>
  <si>
    <t xml:space="preserve">от технологического присоединения потребителей</t>
  </si>
  <si>
    <t>1.1.1.5.2.а</t>
  </si>
  <si>
    <t>1.1.1.6</t>
  </si>
  <si>
    <t xml:space="preserve">реализации электрической энергии и мощности</t>
  </si>
  <si>
    <t>1.1.1.7</t>
  </si>
  <si>
    <t>1.1.1.8</t>
  </si>
  <si>
    <t xml:space="preserve">оказания услуг по оперативно-диспетчерскому управлению в электроэнергетике всего, в том числе:</t>
  </si>
  <si>
    <t>1.1.1.8.1</t>
  </si>
  <si>
    <t>1.1.1.8.2</t>
  </si>
  <si>
    <t xml:space="preserve">прибыль от продажи электрической энергии (мощности) по нерегулируемым ценам, всего в том числе:</t>
  </si>
  <si>
    <t>1.1.2.1</t>
  </si>
  <si>
    <t>1.1.2.2</t>
  </si>
  <si>
    <t>1.1.2.3</t>
  </si>
  <si>
    <t xml:space="preserve">прочая прибыль</t>
  </si>
  <si>
    <t xml:space="preserve">Амортизация основных средств всего, в том числе:</t>
  </si>
  <si>
    <t xml:space="preserve">текущая амортизация, учтенная в ценах (тарифах) всего, в том числе:</t>
  </si>
  <si>
    <t>1.2.1.1</t>
  </si>
  <si>
    <t xml:space="preserve">производство и поставка электрической энергии и мощности</t>
  </si>
  <si>
    <t>1.2.1.1.1</t>
  </si>
  <si>
    <t>1.2.1.1.2</t>
  </si>
  <si>
    <t>1.2.1.1.3</t>
  </si>
  <si>
    <t>1.2.1.2</t>
  </si>
  <si>
    <t>1.2.1.3</t>
  </si>
  <si>
    <t>1.2.1.4</t>
  </si>
  <si>
    <t>1.2.1.5</t>
  </si>
  <si>
    <t>1.2.1.6</t>
  </si>
  <si>
    <t>1.2.1.7</t>
  </si>
  <si>
    <t>1.2.1.7.1</t>
  </si>
  <si>
    <t>1.2.1.7.2</t>
  </si>
  <si>
    <t xml:space="preserve">прочая текущая амортизация</t>
  </si>
  <si>
    <t xml:space="preserve">недоиспользованная амортизация прошлых лет всего, в том числе:</t>
  </si>
  <si>
    <t>1.2.3.1</t>
  </si>
  <si>
    <t>1.2.3.1.1</t>
  </si>
  <si>
    <t>1.2.3.1.2.</t>
  </si>
  <si>
    <t>1.2.3.1.3</t>
  </si>
  <si>
    <t>1.2.3.2</t>
  </si>
  <si>
    <t>1.2.3.3</t>
  </si>
  <si>
    <t>1.2.3.4</t>
  </si>
  <si>
    <t>1.2.3.5</t>
  </si>
  <si>
    <t>1.2.3.6</t>
  </si>
  <si>
    <t>1.2.3.7</t>
  </si>
  <si>
    <t>1.2.3.7.1</t>
  </si>
  <si>
    <t>1.2.3.7.2</t>
  </si>
  <si>
    <t xml:space="preserve">Возврат налога на добавленную стоимость****</t>
  </si>
  <si>
    <t xml:space="preserve">средства от эмиссии акций</t>
  </si>
  <si>
    <t>1.4.2</t>
  </si>
  <si>
    <t xml:space="preserve">остаток собственных средств на начало года</t>
  </si>
  <si>
    <t>Вексели</t>
  </si>
  <si>
    <t>2.5.1.1</t>
  </si>
  <si>
    <t xml:space="preserve">в том числе средства федерального бюджета, недоиспользованные в прошлых периодах</t>
  </si>
  <si>
    <t>2.5.2.1</t>
  </si>
  <si>
    <t xml:space="preserve">в том числе средства консолидированного бюджета субъекта Российской Федерации, недоиспользованные в прошлых периодах</t>
  </si>
  <si>
    <t>3.1.</t>
  </si>
  <si>
    <t xml:space="preserve">Объем финансирования мероприятий по технологическому присоединению льготных категорий заявителей максимальной присоединяемой мощностью до 150 кВт, в том числе за счет: </t>
  </si>
  <si>
    <t xml:space="preserve">цен (тарифов) на услуги по передаче электрической энергии;</t>
  </si>
  <si>
    <t xml:space="preserve">амортизации, учтенной в ценах (тарифах) на услуги по передаче электрической энергии;</t>
  </si>
  <si>
    <t>кредитов</t>
  </si>
  <si>
    <t xml:space="preserve">Для субъектов электроэнергетики, осуществляющих регулируемые виды деятельности с использованием метода доходности инвестированного капитала</t>
  </si>
  <si>
    <t>3.2.1</t>
  </si>
  <si>
    <t xml:space="preserve">возврат инвестированного капитала, направляемый на инвестиции</t>
  </si>
  <si>
    <t>3.2.2</t>
  </si>
  <si>
    <t xml:space="preserve">доход на инвестированный капитал, направляемый на инвестиции</t>
  </si>
  <si>
    <t>3.2.3</t>
  </si>
  <si>
    <t xml:space="preserve">заемные средства, направляемые на инвестиции</t>
  </si>
  <si>
    <t>Примечание:</t>
  </si>
  <si>
    <t xml:space="preserve">*в строках, содержащих слова "всего, в том числе" указывается сумма нижерасположенных строк соответствующего раздела (подраздела) </t>
  </si>
  <si>
    <t xml:space="preserve">** строка заполняется в объеме притока денежных средств от эмиссии акций. В случае оплаты эмиссии акций с использованием не денежных операций, данная строка не заполняется</t>
  </si>
  <si>
    <t xml:space="preserve">*** указывается на основании заключенных договоров на оказание услуг по передаче электрической энергии </t>
  </si>
  <si>
    <t xml:space="preserve">**** указываются денежные средства в виде положительного сальдо от налога на добаленную стоимость к уплате и налога на добаленную стоимость к возврату, рассчитанные с учетом налогового вычета, в том числе связанного с капитальными вложениями</t>
  </si>
  <si>
    <t xml:space="preserve">***** указывается суммарно стоимость оказынных субъекту электроэнергетики услуг: 
по оперативно-диспетчерскому управлению в электроэнергетике;
по организации оптовой торговли электрической энергией, мощностью и иными допущенными к обращению на оптовом рынке товарами и услугами;
по расчету требований и обязательств участников оптового рынка
</t>
  </si>
  <si>
    <t xml:space="preserve">2014 факт</t>
  </si>
  <si>
    <t xml:space="preserve">2015 факт</t>
  </si>
  <si>
    <t xml:space="preserve">2016 кор.плана = колонка 2016 план</t>
  </si>
  <si>
    <t xml:space="preserve">2017 план</t>
  </si>
  <si>
    <t xml:space="preserve">2017 кор.плана</t>
  </si>
  <si>
    <t xml:space="preserve">2018 план</t>
  </si>
  <si>
    <t xml:space="preserve">2018 кор.плана</t>
  </si>
  <si>
    <t xml:space="preserve">2019 кор.плана</t>
  </si>
  <si>
    <t xml:space="preserve">Прочие  доходы, всего</t>
  </si>
  <si>
    <t>тыс.руб</t>
  </si>
  <si>
    <t xml:space="preserve">Проценты к получению </t>
  </si>
  <si>
    <t xml:space="preserve">От совместной деятельности</t>
  </si>
  <si>
    <t xml:space="preserve">От реализации основных средств, квартир, МПЗ, НМА, других внеоборотных активов</t>
  </si>
  <si>
    <t xml:space="preserve">От реализации ценных бумаг и финансовых инструментов</t>
  </si>
  <si>
    <t xml:space="preserve">         в т.ч. от продажи долгосрочных финансовых вложений (акций, долей)</t>
  </si>
  <si>
    <t xml:space="preserve">От аренды</t>
  </si>
  <si>
    <t xml:space="preserve">От участия в других организациях  </t>
  </si>
  <si>
    <t>1.6.1</t>
  </si>
  <si>
    <t xml:space="preserve">         в т.ч. дивиденды полученные</t>
  </si>
  <si>
    <t>1.7.</t>
  </si>
  <si>
    <t xml:space="preserve">Пени, штрафы, неустойки признанные или по которым получено решение суда</t>
  </si>
  <si>
    <t>1.8.</t>
  </si>
  <si>
    <t xml:space="preserve">Прибыль прошлых лет, выявленная в отчётном периоде</t>
  </si>
  <si>
    <t>1.9.</t>
  </si>
  <si>
    <t xml:space="preserve">Доход от переоценки финансовых вложений, эмиссионных ценных бумаг, обращающихся на фондовом рынке, восстановление резервов под обесценение финансовых вложений</t>
  </si>
  <si>
    <t>1.9.1</t>
  </si>
  <si>
    <t xml:space="preserve">         в т.ч. от переоценки долгосрочных финансовых вложений (акций, долей)</t>
  </si>
  <si>
    <t>1.10.</t>
  </si>
  <si>
    <t xml:space="preserve">Доход от безвозмездно полученных активов</t>
  </si>
  <si>
    <t>1.11.</t>
  </si>
  <si>
    <t xml:space="preserve">Кредиторская задолженность более 3 лет</t>
  </si>
  <si>
    <t>1.12.</t>
  </si>
  <si>
    <t xml:space="preserve">От курсовых и суммовых разниц</t>
  </si>
  <si>
    <t>1.13.</t>
  </si>
  <si>
    <t xml:space="preserve">Субвенции на разницу в тарифах</t>
  </si>
  <si>
    <t>1.14.</t>
  </si>
  <si>
    <t xml:space="preserve">Восстановление резерва по сомнительным долгам</t>
  </si>
  <si>
    <t>1.15.</t>
  </si>
  <si>
    <t xml:space="preserve">Прочие доходы (чрезвычайные)*</t>
  </si>
  <si>
    <t>1.16.</t>
  </si>
  <si>
    <t xml:space="preserve">Другие прочие  доходы*</t>
  </si>
  <si>
    <t xml:space="preserve">Прочие  расходы, всего</t>
  </si>
  <si>
    <t xml:space="preserve">Проценты к уплате</t>
  </si>
  <si>
    <t xml:space="preserve">От реализации основных средств, квартир, МПЗ, НМА, других активов</t>
  </si>
  <si>
    <t>2.4.1</t>
  </si>
  <si>
    <t xml:space="preserve">Убыток от переоценки финансовых вложений, резерв под обесценение финансовых вложений</t>
  </si>
  <si>
    <t xml:space="preserve">Прочие налоги отражающиеся в операц. расходах</t>
  </si>
  <si>
    <t xml:space="preserve">Оплата услуг кредитных организаций</t>
  </si>
  <si>
    <t xml:space="preserve">Резерв по сомнительным долгам</t>
  </si>
  <si>
    <t>2.10</t>
  </si>
  <si>
    <t xml:space="preserve">Содержание законсервированных объектов</t>
  </si>
  <si>
    <t>2.11</t>
  </si>
  <si>
    <t xml:space="preserve">Выбытие без дохода (стоимость безвозмездно переданного имущества)</t>
  </si>
  <si>
    <t>2.12</t>
  </si>
  <si>
    <t>2.13</t>
  </si>
  <si>
    <t xml:space="preserve">Убытки прошлых лет, выявленные в отчётном периоде</t>
  </si>
  <si>
    <t>2.14</t>
  </si>
  <si>
    <t>2.15</t>
  </si>
  <si>
    <t xml:space="preserve">Расходы социального характера **)</t>
  </si>
  <si>
    <t>2.16</t>
  </si>
  <si>
    <t xml:space="preserve">Расходы на реализацию программы улучшения жилищных условий</t>
  </si>
  <si>
    <t>2.17</t>
  </si>
  <si>
    <t xml:space="preserve">Расходы на содержание социальной сферы ***)</t>
  </si>
  <si>
    <t>2.18</t>
  </si>
  <si>
    <t xml:space="preserve">Фонд заработной платы из прочих расходов</t>
  </si>
  <si>
    <t>2.19</t>
  </si>
  <si>
    <t xml:space="preserve">Добровольное медицинское страхование</t>
  </si>
  <si>
    <t>2.20</t>
  </si>
  <si>
    <t xml:space="preserve">Выплаты вознаграждений членам Советов директоров и ревизионной комиссии</t>
  </si>
  <si>
    <t>2.21</t>
  </si>
  <si>
    <t xml:space="preserve">Расходы на управление капиталом (переоценка, реестр, консультации)</t>
  </si>
  <si>
    <t>2.22</t>
  </si>
  <si>
    <t xml:space="preserve">Расходы на проведение ежегодного собрания акционеров </t>
  </si>
  <si>
    <t>2.23</t>
  </si>
  <si>
    <t xml:space="preserve">Прочие  расходы (детализация)  </t>
  </si>
  <si>
    <t>2.23.1</t>
  </si>
  <si>
    <t xml:space="preserve">    взносы в некоммерческие фонды и партнерства</t>
  </si>
  <si>
    <t>2.23.1.1</t>
  </si>
  <si>
    <t xml:space="preserve">      в т.ч. НПФ Энергетики</t>
  </si>
  <si>
    <t>2.23.1.2</t>
  </si>
  <si>
    <t xml:space="preserve">               НП ИНВЭЛ</t>
  </si>
  <si>
    <t>2.23.1.3</t>
  </si>
  <si>
    <t xml:space="preserve">               ЭУФ</t>
  </si>
  <si>
    <t>2.23.1.4</t>
  </si>
  <si>
    <t xml:space="preserve">               НП АТС</t>
  </si>
  <si>
    <t>2.23.1.5</t>
  </si>
  <si>
    <t xml:space="preserve">               НП Гарантирующих поставщиков</t>
  </si>
  <si>
    <t>2.23.1.6</t>
  </si>
  <si>
    <t xml:space="preserve">               НП ВТИ</t>
  </si>
  <si>
    <t>2.23.1.7</t>
  </si>
  <si>
    <t xml:space="preserve">               фонды, созданные по инициативе органов власти и включенные в тарифы</t>
  </si>
  <si>
    <t>2.23.1.8</t>
  </si>
  <si>
    <t xml:space="preserve">    прочие</t>
  </si>
  <si>
    <t>2.23.2</t>
  </si>
  <si>
    <t xml:space="preserve">судебные издержки</t>
  </si>
  <si>
    <t>2.23.3</t>
  </si>
  <si>
    <t xml:space="preserve">расходы на экологию</t>
  </si>
  <si>
    <t>2.23.4</t>
  </si>
  <si>
    <t xml:space="preserve">издержки по исполнительному производству</t>
  </si>
  <si>
    <t>2.23.5</t>
  </si>
  <si>
    <t xml:space="preserve">списание долгов, нереальных к взысканию</t>
  </si>
  <si>
    <t>2.23.6</t>
  </si>
  <si>
    <t xml:space="preserve">невозмещаемый НДС</t>
  </si>
  <si>
    <t>2.23.7</t>
  </si>
  <si>
    <t>благотворительность</t>
  </si>
  <si>
    <t>2.23.8</t>
  </si>
  <si>
    <t xml:space="preserve">некапитализируемые расходы на строительство (зоны затопления и прочие)</t>
  </si>
  <si>
    <t>2.23.9</t>
  </si>
  <si>
    <t xml:space="preserve">Прочие расходы (чрезвычайные)*</t>
  </si>
  <si>
    <t>2.23.10</t>
  </si>
  <si>
    <t xml:space="preserve">другие расходы *)</t>
  </si>
  <si>
    <t xml:space="preserve">доходы э/э</t>
  </si>
  <si>
    <t xml:space="preserve">доходы проч</t>
  </si>
  <si>
    <t xml:space="preserve">расходы э/э</t>
  </si>
  <si>
    <t xml:space="preserve">расходы проч</t>
  </si>
  <si>
    <r>
      <t/>
    </r>
    <r>
      <rPr>
        <b/>
        <sz val="12"/>
        <rFont val="Times New Roman"/>
      </rPr>
      <t>№№</t>
    </r>
  </si>
  <si>
    <r>
      <t/>
    </r>
    <r>
      <rPr>
        <b/>
        <sz val="12"/>
        <rFont val="Times New Roman"/>
      </rPr>
      <t xml:space="preserve">Источник финансирования</t>
    </r>
  </si>
  <si>
    <r>
      <t/>
    </r>
    <r>
      <rPr>
        <b/>
        <sz val="12"/>
        <rFont val="Times New Roman"/>
      </rPr>
      <t xml:space="preserve">План 2016</t>
    </r>
  </si>
  <si>
    <r>
      <t/>
    </r>
    <r>
      <rPr>
        <b/>
        <sz val="12"/>
        <rFont val="Times New Roman"/>
      </rPr>
      <t xml:space="preserve">План 2017</t>
    </r>
  </si>
  <si>
    <r>
      <t/>
    </r>
    <r>
      <rPr>
        <b/>
        <sz val="12"/>
        <rFont val="Times New Roman"/>
      </rPr>
      <t xml:space="preserve">План 2018</t>
    </r>
  </si>
  <si>
    <r>
      <t/>
    </r>
    <r>
      <rPr>
        <b/>
        <sz val="12"/>
        <rFont val="Times New Roman"/>
      </rPr>
      <t xml:space="preserve">План 2019</t>
    </r>
  </si>
  <si>
    <t xml:space="preserve">Итого (за период реализации инвестиционной программы)</t>
  </si>
  <si>
    <r>
      <t/>
    </r>
    <r>
      <rPr>
        <b/>
        <sz val="12"/>
        <rFont val="Times New Roman"/>
      </rPr>
      <t>I.</t>
    </r>
  </si>
  <si>
    <r>
      <t/>
    </r>
    <r>
      <rPr>
        <b/>
        <sz val="12"/>
        <rFont val="Times New Roman"/>
      </rPr>
      <t xml:space="preserve">ВСЕГО источников финансирования</t>
    </r>
  </si>
  <si>
    <t xml:space="preserve">Собственные средства всего, в т.ч.:</t>
  </si>
  <si>
    <t xml:space="preserve">Прибыль, направляемая на инвестиции, в т.ч.:</t>
  </si>
  <si>
    <t>1.1.1.</t>
  </si>
  <si>
    <t>1.1.2.</t>
  </si>
  <si>
    <t>1.1.3.</t>
  </si>
  <si>
    <t xml:space="preserve">от технологического присоединения</t>
  </si>
  <si>
    <t>1.1.4.</t>
  </si>
  <si>
    <t xml:space="preserve">чистая прибыль предыдущего периода</t>
  </si>
  <si>
    <t xml:space="preserve">недоиспользованный остаток чистой прибыли прошлых лет</t>
  </si>
  <si>
    <t xml:space="preserve">Амортизация всего, в т.ч.:</t>
  </si>
  <si>
    <t>1.2.1.</t>
  </si>
  <si>
    <t>1.2.2.</t>
  </si>
  <si>
    <t xml:space="preserve">амортизация по виду деятельности "производство и реализация электроэнергии" (без учета БилАЭС), в т.ч.:</t>
  </si>
  <si>
    <t xml:space="preserve">по действующим АЭС*</t>
  </si>
  <si>
    <t xml:space="preserve">по новым э/б АЭС*</t>
  </si>
  <si>
    <t>1.2.3.</t>
  </si>
  <si>
    <t xml:space="preserve">прочая амортизация (в том числе по виду д-ти теплоэнергия, с учетом БилАЭС)</t>
  </si>
  <si>
    <t>1.2.4.</t>
  </si>
  <si>
    <t>1.4.</t>
  </si>
  <si>
    <t xml:space="preserve">Прочие собственные средства всего, в т.ч.:</t>
  </si>
  <si>
    <t xml:space="preserve">резерв развития, в т.ч.:</t>
  </si>
  <si>
    <t xml:space="preserve">резерв развития текущего года</t>
  </si>
  <si>
    <t xml:space="preserve">недоиспользованный резерв развития предыдущих лет</t>
  </si>
  <si>
    <t>1.4.3.</t>
  </si>
  <si>
    <t xml:space="preserve">финансирование в рамках текущей деятельности</t>
  </si>
  <si>
    <t>1.5.</t>
  </si>
  <si>
    <r>
      <t/>
    </r>
    <r>
      <rPr>
        <b/>
        <sz val="12"/>
        <rFont val="Times New Roman"/>
      </rPr>
      <t>2.</t>
    </r>
  </si>
  <si>
    <r>
      <t/>
    </r>
    <r>
      <rPr>
        <b/>
        <sz val="12"/>
        <rFont val="Times New Roman"/>
      </rPr>
      <t xml:space="preserve">Привлеченные средства всего, в т.ч.:</t>
    </r>
  </si>
  <si>
    <t>2.2.</t>
  </si>
  <si>
    <t>2.3.</t>
  </si>
  <si>
    <t>2.4.</t>
  </si>
  <si>
    <t>2.5.</t>
  </si>
  <si>
    <t>2.6.</t>
  </si>
  <si>
    <t>2.7.</t>
  </si>
  <si>
    <r>
      <t/>
    </r>
    <r>
      <rPr>
        <b/>
        <sz val="12"/>
        <rFont val="Times New Roman"/>
      </rPr>
      <t>II.</t>
    </r>
  </si>
  <si>
    <r>
      <t/>
    </r>
    <r>
      <rPr>
        <b/>
        <sz val="12"/>
        <rFont val="Times New Roman"/>
      </rPr>
      <t xml:space="preserve">ВСЕГО потребность в финансировании</t>
    </r>
  </si>
  <si>
    <r>
      <t/>
    </r>
    <r>
      <rPr>
        <b/>
        <sz val="12"/>
        <rFont val="Times New Roman"/>
      </rPr>
      <t>III.</t>
    </r>
  </si>
  <si>
    <r>
      <t/>
    </r>
    <r>
      <rPr>
        <b/>
        <sz val="12"/>
        <rFont val="Times New Roman"/>
      </rPr>
      <t xml:space="preserve">ВСЕГО дефицит</t>
    </r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</si>
</sst>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9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  <numFmt numFmtId="164" formatCode="#,##0_ ;\-#,##0\ "/>
    <numFmt numFmtId="165" formatCode="_-* #,##0.00\ _р_._-;\-* #,##0.00\ _р_._-;_-* &quot;-&quot;??\ _р_._-;_-@_-"/>
    <numFmt numFmtId="166" formatCode="0.0"/>
    <numFmt numFmtId="167" formatCode="0.000"/>
    <numFmt numFmtId="168" formatCode="_-* #,##0_р_._-;\-* #,##0_р_._-;_-* &quot;-&quot;??_р_._-;_-@_-"/>
    <numFmt numFmtId="169" formatCode="#,##0.000"/>
    <numFmt numFmtId="170" formatCode="_-* #,##0.00\ _₽_-;\-* #,##0.00\ _₽_-;_-* &quot;-&quot;??\ _₽_-;_-@_-"/>
    <numFmt numFmtId="171" formatCode="_-* #,##0.0_р_._-;\-* #,##0.0_р_._-;_-* &quot;-&quot;??_р_._-;_-@_-"/>
    <numFmt numFmtId="172" formatCode="#,##0_р_."/>
    <numFmt numFmtId="173" formatCode="0.0%"/>
    <numFmt numFmtId="174" formatCode="_-* #,##0\ _₽_-;\-* #,##0\ _₽_-;_-* &quot;-&quot;??\ _₽_-;_-@_-"/>
    <numFmt numFmtId="175" formatCode="#,##0.000_ ;\-#,##0.000\ "/>
    <numFmt numFmtId="176" formatCode="_-* #,##0.000_р_._-;\-* #,##0.000_р_._-;_-* &quot;-&quot;??_р_._-;_-@_-"/>
    <numFmt numFmtId="177" formatCode="#,##0.0000"/>
    <numFmt numFmtId="178" formatCode="#,##0.0"/>
  </numFmts>
  <fonts count="91">
    <font>
      <sz val="11.000000"/>
      <color theme="1" tint="0"/>
      <name val="Calibri"/>
      <scheme val="minor"/>
    </font>
    <font>
      <sz val="11.000000"/>
      <color indexed="64"/>
      <name val="Calibri"/>
    </font>
    <font>
      <sz val="11.000000"/>
      <color theme="0" tint="0"/>
      <name val="Calibri"/>
      <scheme val="minor"/>
    </font>
    <font>
      <sz val="11.000000"/>
      <color indexed="65"/>
      <name val="Calibri"/>
    </font>
    <font>
      <sz val="10.000000"/>
      <name val="Arial"/>
    </font>
    <font>
      <sz val="11.000000"/>
      <color rgb="FF3F3F76"/>
      <name val="Calibri"/>
      <scheme val="minor"/>
    </font>
    <font>
      <sz val="11.000000"/>
      <color indexed="62"/>
      <name val="Calibri"/>
    </font>
    <font>
      <b/>
      <sz val="11.000000"/>
      <color rgb="FF3F3F3F"/>
      <name val="Calibri"/>
      <scheme val="minor"/>
    </font>
    <font>
      <b/>
      <sz val="11.000000"/>
      <color indexed="63"/>
      <name val="Calibri"/>
    </font>
    <font>
      <b/>
      <sz val="11.000000"/>
      <color rgb="FFFA7D00"/>
      <name val="Calibri"/>
      <scheme val="minor"/>
    </font>
    <font>
      <b/>
      <sz val="11.000000"/>
      <color indexed="52"/>
      <name val="Calibri"/>
    </font>
    <font>
      <u/>
      <sz val="7.700000"/>
      <color theme="10" tint="0"/>
      <name val="Calibri"/>
    </font>
    <font>
      <b/>
      <sz val="15.000000"/>
      <color theme="3" tint="0"/>
      <name val="Calibri"/>
      <scheme val="minor"/>
    </font>
    <font>
      <b/>
      <sz val="15.000000"/>
      <color indexed="56"/>
      <name val="Calibri"/>
    </font>
    <font>
      <b/>
      <sz val="13.000000"/>
      <color theme="3" tint="0"/>
      <name val="Calibri"/>
      <scheme val="minor"/>
    </font>
    <font>
      <b/>
      <sz val="13.000000"/>
      <color indexed="56"/>
      <name val="Calibri"/>
    </font>
    <font>
      <b/>
      <sz val="11.000000"/>
      <color theme="3" tint="0"/>
      <name val="Calibri"/>
      <scheme val="minor"/>
    </font>
    <font>
      <b/>
      <sz val="11.000000"/>
      <color indexed="56"/>
      <name val="Calibri"/>
    </font>
    <font>
      <b/>
      <sz val="11.000000"/>
      <color theme="1" tint="0"/>
      <name val="Calibri"/>
      <scheme val="minor"/>
    </font>
    <font>
      <b/>
      <sz val="11.000000"/>
      <color indexed="64"/>
      <name val="Calibri"/>
    </font>
    <font>
      <b/>
      <sz val="11.000000"/>
      <color theme="0" tint="0"/>
      <name val="Calibri"/>
      <scheme val="minor"/>
    </font>
    <font>
      <b/>
      <sz val="11.000000"/>
      <color indexed="65"/>
      <name val="Calibri"/>
    </font>
    <font>
      <b/>
      <sz val="18.000000"/>
      <color theme="3" tint="0"/>
      <name val="Cambria"/>
      <scheme val="major"/>
    </font>
    <font>
      <b/>
      <sz val="18.000000"/>
      <color indexed="56"/>
      <name val="Cambria"/>
    </font>
    <font>
      <sz val="11.000000"/>
      <color rgb="FF9C6500"/>
      <name val="Calibri"/>
      <scheme val="minor"/>
    </font>
    <font>
      <sz val="11.000000"/>
      <color indexed="60"/>
      <name val="Calibri"/>
    </font>
    <font>
      <sz val="10.000000"/>
      <name val="Arial Cyr"/>
    </font>
    <font>
      <sz val="12.000000"/>
      <name val="Times New Roman"/>
    </font>
    <font>
      <sz val="11.000000"/>
      <color indexed="64"/>
      <name val="SimSun"/>
    </font>
    <font>
      <sz val="11.000000"/>
      <name val="Arial"/>
    </font>
    <font>
      <u/>
      <sz val="7.700000"/>
      <color theme="11" tint="0"/>
      <name val="Calibri"/>
    </font>
    <font>
      <sz val="11.000000"/>
      <color rgb="FF9C0006"/>
      <name val="Calibri"/>
      <scheme val="minor"/>
    </font>
    <font>
      <sz val="11.000000"/>
      <color indexed="20"/>
      <name val="Calibri"/>
    </font>
    <font>
      <i/>
      <sz val="11.000000"/>
      <color rgb="FF7F7F7F"/>
      <name val="Calibri"/>
      <scheme val="minor"/>
    </font>
    <font>
      <i/>
      <sz val="11.000000"/>
      <color indexed="23"/>
      <name val="Calibri"/>
    </font>
    <font>
      <sz val="10.000000"/>
      <color indexed="62"/>
      <name val="Arial Cyr"/>
    </font>
    <font>
      <sz val="11.000000"/>
      <color rgb="FFFA7D00"/>
      <name val="Calibri"/>
      <scheme val="minor"/>
    </font>
    <font>
      <sz val="11.000000"/>
      <color indexed="52"/>
      <name val="Calibri"/>
    </font>
    <font>
      <sz val="10.000000"/>
      <name val="Helv"/>
    </font>
    <font>
      <sz val="11.000000"/>
      <color indexed="2"/>
      <name val="Calibri"/>
      <scheme val="minor"/>
    </font>
    <font>
      <sz val="11.000000"/>
      <color indexed="2"/>
      <name val="Calibri"/>
    </font>
    <font>
      <sz val="10.000000"/>
      <name val="Arial Narrow"/>
    </font>
    <font>
      <sz val="11.000000"/>
      <color rgb="FF006100"/>
      <name val="Calibri"/>
      <scheme val="minor"/>
    </font>
    <font>
      <sz val="11.000000"/>
      <color indexed="17"/>
      <name val="Calibri"/>
    </font>
    <font>
      <b/>
      <sz val="12.000000"/>
      <name val="Times New Roman"/>
    </font>
    <font>
      <b/>
      <sz val="12.000000"/>
      <name val="Times New Roman CYR"/>
    </font>
    <font>
      <sz val="12.000000"/>
      <name val="Times New Roman CYR"/>
    </font>
    <font>
      <sz val="10.000000"/>
      <name val="Times New Roman"/>
    </font>
    <font>
      <sz val="12.000000"/>
      <color indexed="64"/>
      <name val="Times New Roman"/>
    </font>
    <font>
      <i/>
      <sz val="12.000000"/>
      <name val="Times New Roman"/>
    </font>
    <font>
      <b/>
      <sz val="12.000000"/>
      <color theme="5" tint="-0.249977"/>
      <name val="Times New Roman"/>
    </font>
    <font>
      <sz val="12.000000"/>
      <color indexed="2"/>
      <name val="Times New Roman"/>
    </font>
    <font>
      <b/>
      <sz val="12.000000"/>
      <color indexed="64"/>
      <name val="Times New Roman"/>
    </font>
    <font>
      <sz val="12.000000"/>
      <color theme="1" tint="0"/>
      <name val="Times New Roman"/>
    </font>
    <font>
      <sz val="12.000000"/>
      <name val="Times New Roman Cyr"/>
    </font>
    <font>
      <b/>
      <sz val="13.000000"/>
      <color indexed="64"/>
      <name val="Times New Roman"/>
    </font>
    <font>
      <b/>
      <sz val="12.000000"/>
      <color indexed="2"/>
      <name val="Times New Roman"/>
    </font>
    <font>
      <sz val="11.000000"/>
      <color theme="1" tint="0"/>
      <name val="Times New Roman"/>
    </font>
    <font>
      <b/>
      <sz val="12.000000"/>
      <color theme="1" tint="0"/>
      <name val="Calibri"/>
    </font>
    <font>
      <sz val="12.000000"/>
      <color theme="1" tint="0"/>
      <name val="Calibri"/>
      <scheme val="minor"/>
    </font>
    <font>
      <sz val="12.000000"/>
      <name val="Arial"/>
    </font>
    <font>
      <b/>
      <sz val="12.000000"/>
      <color theme="0" tint="0"/>
      <name val="Calibri"/>
    </font>
    <font>
      <b/>
      <sz val="12.000000"/>
      <color theme="0" tint="0"/>
      <name val="Calibri"/>
      <scheme val="minor"/>
    </font>
    <font>
      <sz val="12.000000"/>
      <name val="Calibri"/>
      <scheme val="minor"/>
    </font>
    <font>
      <b/>
      <sz val="12.000000"/>
      <name val="Calibri"/>
      <scheme val="minor"/>
    </font>
    <font>
      <sz val="12.000000"/>
      <color indexed="2"/>
      <name val="Calibri"/>
      <scheme val="minor"/>
    </font>
    <font>
      <b/>
      <sz val="13.000000"/>
      <name val="Calibri"/>
      <scheme val="minor"/>
    </font>
    <font>
      <i/>
      <sz val="12.000000"/>
      <name val="Calibri"/>
      <scheme val="minor"/>
    </font>
    <font>
      <b/>
      <sz val="14.000000"/>
      <color indexed="2"/>
      <name val="Calibri"/>
      <scheme val="minor"/>
    </font>
    <font>
      <b/>
      <sz val="12.000000"/>
      <color theme="1" tint="0"/>
      <name val="Calibri"/>
      <scheme val="minor"/>
    </font>
    <font>
      <i/>
      <sz val="12.000000"/>
      <color theme="1" tint="0"/>
      <name val="Calibri"/>
      <scheme val="minor"/>
    </font>
    <font>
      <b/>
      <sz val="12.000000"/>
      <color rgb="FFC00000"/>
      <name val="Calibri"/>
      <scheme val="minor"/>
    </font>
    <font>
      <sz val="11.000000"/>
      <name val="Times New Roman"/>
    </font>
    <font>
      <sz val="14.000000"/>
      <color theme="1" tint="0"/>
      <name val="Times New Roman"/>
    </font>
    <font>
      <b/>
      <sz val="18.000000"/>
      <name val="Times New Roman"/>
    </font>
    <font>
      <sz val="14.000000"/>
      <color indexed="64"/>
      <name val="Times New Roman"/>
    </font>
    <font>
      <u/>
      <sz val="14.000000"/>
      <color theme="1" tint="0"/>
      <name val="Times New Roman"/>
    </font>
    <font>
      <u/>
      <sz val="10.000000"/>
      <name val="Times New Roman"/>
    </font>
    <font>
      <sz val="9.000000"/>
      <color theme="1" tint="0"/>
      <name val="Times New Roman"/>
    </font>
    <font>
      <sz val="16.000000"/>
      <name val="Times New Roman"/>
    </font>
    <font>
      <b/>
      <sz val="10.000000"/>
      <name val="Times New Roman CYR"/>
    </font>
    <font>
      <b/>
      <sz val="10.000000"/>
      <name val="Times New Roman"/>
    </font>
    <font>
      <i/>
      <sz val="10.000000"/>
      <name val="Times New Roman CYR"/>
    </font>
    <font>
      <sz val="14.000000"/>
      <name val="Times New Roman CYR"/>
    </font>
    <font>
      <sz val="10.000000"/>
      <color theme="1" tint="0"/>
      <name val="Times New Roman"/>
    </font>
    <font>
      <sz val="14.000000"/>
      <name val="Times New Roman"/>
    </font>
    <font>
      <sz val="10.000000"/>
      <color indexed="2"/>
      <name val="Times New Roman"/>
    </font>
    <font>
      <i/>
      <sz val="10.000000"/>
      <name val="Times New Roman"/>
    </font>
    <font>
      <b/>
      <sz val="8.000000"/>
      <name val="Times New Roman Cyr"/>
    </font>
    <font>
      <sz val="8.000000"/>
      <name val="Times New Roman Cyr"/>
    </font>
    <font>
      <sz val="8.000000"/>
      <name val="Times New Roman"/>
    </font>
  </fonts>
  <fills count="63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indexed="31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indexed="45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indexed="42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indexed="46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indexed="2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indexed="44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indexed="29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indexed="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indexed="51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indexed="30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indexed="20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indexed="49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indexed="52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indexed="62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indexed="2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indexed="57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53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indexed="2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indexed="5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indexed="43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theme="2" tint="-0.099978600000000001"/>
        <bgColor theme="2" tint="-0.099978600000000001"/>
      </patternFill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theme="4" tint="-0.249977"/>
        <bgColor theme="4" tint="-0.249977"/>
      </patternFill>
    </fill>
    <fill>
      <patternFill patternType="solid">
        <fgColor theme="6" tint="0.79998199999999997"/>
        <bgColor theme="6" tint="0.79998199999999997"/>
      </patternFill>
    </fill>
    <fill>
      <patternFill patternType="solid">
        <fgColor theme="8" tint="0.79998199999999997"/>
        <bgColor theme="8" tint="0.79998199999999997"/>
      </patternFill>
    </fill>
    <fill>
      <patternFill patternType="solid">
        <fgColor indexed="42"/>
        <bgColor indexed="42"/>
      </patternFill>
    </fill>
    <fill>
      <patternFill patternType="solid">
        <fgColor theme="8" tint="0.399976"/>
        <bgColor theme="8" tint="0.399976"/>
      </patternFill>
    </fill>
    <fill>
      <patternFill patternType="solid">
        <fgColor indexed="43"/>
        <bgColor indexed="43"/>
      </patternFill>
    </fill>
    <fill>
      <patternFill patternType="solid">
        <fgColor theme="8" tint="0.59999400000000003"/>
        <bgColor theme="8" tint="0.59999400000000003"/>
      </patternFill>
    </fill>
  </fills>
  <borders count="88">
    <border>
      <left style="none"/>
      <right style="none"/>
      <top style="none"/>
      <bottom style="none"/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theme="4" tint="0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theme="4" tint="0.49998500000000001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theme="4" tint="0.399976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theme="4" tint="0"/>
      </top>
      <bottom style="double">
        <color theme="4" tint="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medium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none"/>
      <right style="none"/>
      <top style="medium">
        <color auto="1"/>
      </top>
      <bottom style="none"/>
      <diagonal style="none"/>
    </border>
    <border>
      <left style="none"/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none"/>
      <right style="none"/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none"/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none"/>
      <diagonal style="none"/>
    </border>
    <border>
      <left style="none"/>
      <right style="none"/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none"/>
      <right style="none"/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none"/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none"/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none"/>
      <right style="medium">
        <color auto="1"/>
      </right>
      <top style="none"/>
      <bottom style="medium">
        <color auto="1"/>
      </bottom>
      <diagonal style="none"/>
    </border>
    <border>
      <left style="none"/>
      <right style="medium">
        <color auto="1"/>
      </right>
      <top style="none"/>
      <bottom style="none"/>
      <diagonal style="none"/>
    </border>
    <border>
      <left style="none"/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none"/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hair">
        <color auto="1"/>
      </bottom>
      <diagonal style="none"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 style="none"/>
    </border>
    <border>
      <left style="medium">
        <color auto="1"/>
      </left>
      <right style="medium">
        <color auto="1"/>
      </right>
      <top style="hair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</borders>
  <cellStyleXfs count="127">
    <xf fontId="0" fillId="0" borderId="0" numFmtId="0" applyNumberFormat="1" applyFont="1" applyFill="1" applyBorder="1"/>
    <xf fontId="0" fillId="2" borderId="0" numFmtId="0" applyNumberFormat="1" applyFont="1" applyFill="1" applyBorder="1"/>
    <xf fontId="1" fillId="3" borderId="0" numFmtId="0" applyNumberFormat="1" applyFont="1" applyFill="1" applyBorder="1"/>
    <xf fontId="0" fillId="4" borderId="0" numFmtId="0" applyNumberFormat="1" applyFont="1" applyFill="1" applyBorder="1"/>
    <xf fontId="1" fillId="5" borderId="0" numFmtId="0" applyNumberFormat="1" applyFont="1" applyFill="1" applyBorder="1"/>
    <xf fontId="0" fillId="6" borderId="0" numFmtId="0" applyNumberFormat="1" applyFont="1" applyFill="1" applyBorder="1"/>
    <xf fontId="1" fillId="7" borderId="0" numFmtId="0" applyNumberFormat="1" applyFont="1" applyFill="1" applyBorder="1"/>
    <xf fontId="0" fillId="8" borderId="0" numFmtId="0" applyNumberFormat="1" applyFont="1" applyFill="1" applyBorder="1"/>
    <xf fontId="1" fillId="9" borderId="0" numFmtId="0" applyNumberFormat="1" applyFont="1" applyFill="1" applyBorder="1"/>
    <xf fontId="0" fillId="10" borderId="0" numFmtId="0" applyNumberFormat="1" applyFont="1" applyFill="1" applyBorder="1"/>
    <xf fontId="1" fillId="11" borderId="0" numFmtId="0" applyNumberFormat="1" applyFont="1" applyFill="1" applyBorder="1"/>
    <xf fontId="0" fillId="12" borderId="0" numFmtId="0" applyNumberFormat="1" applyFont="1" applyFill="1" applyBorder="1"/>
    <xf fontId="1" fillId="13" borderId="0" numFmtId="0" applyNumberFormat="1" applyFont="1" applyFill="1" applyBorder="1"/>
    <xf fontId="0" fillId="14" borderId="0" numFmtId="0" applyNumberFormat="1" applyFont="1" applyFill="1" applyBorder="1"/>
    <xf fontId="1" fillId="15" borderId="0" numFmtId="0" applyNumberFormat="1" applyFont="1" applyFill="1" applyBorder="1"/>
    <xf fontId="0" fillId="16" borderId="0" numFmtId="0" applyNumberFormat="1" applyFont="1" applyFill="1" applyBorder="1"/>
    <xf fontId="1" fillId="17" borderId="0" numFmtId="0" applyNumberFormat="1" applyFont="1" applyFill="1" applyBorder="1"/>
    <xf fontId="0" fillId="18" borderId="0" numFmtId="0" applyNumberFormat="1" applyFont="1" applyFill="1" applyBorder="1"/>
    <xf fontId="1" fillId="19" borderId="0" numFmtId="0" applyNumberFormat="1" applyFont="1" applyFill="1" applyBorder="1"/>
    <xf fontId="0" fillId="20" borderId="0" numFmtId="0" applyNumberFormat="1" applyFont="1" applyFill="1" applyBorder="1"/>
    <xf fontId="1" fillId="9" borderId="0" numFmtId="0" applyNumberFormat="1" applyFont="1" applyFill="1" applyBorder="1"/>
    <xf fontId="0" fillId="21" borderId="0" numFmtId="0" applyNumberFormat="1" applyFont="1" applyFill="1" applyBorder="1"/>
    <xf fontId="1" fillId="15" borderId="0" numFmtId="0" applyNumberFormat="1" applyFont="1" applyFill="1" applyBorder="1"/>
    <xf fontId="0" fillId="22" borderId="0" numFmtId="0" applyNumberFormat="1" applyFont="1" applyFill="1" applyBorder="1"/>
    <xf fontId="1" fillId="23" borderId="0" numFmtId="0" applyNumberFormat="1" applyFont="1" applyFill="1" applyBorder="1"/>
    <xf fontId="2" fillId="24" borderId="0" numFmtId="0" applyNumberFormat="1" applyFont="1" applyFill="1" applyBorder="1"/>
    <xf fontId="3" fillId="25" borderId="0" numFmtId="0" applyNumberFormat="1" applyFont="1" applyFill="1" applyBorder="1"/>
    <xf fontId="2" fillId="26" borderId="0" numFmtId="0" applyNumberFormat="1" applyFont="1" applyFill="1" applyBorder="1"/>
    <xf fontId="3" fillId="17" borderId="0" numFmtId="0" applyNumberFormat="1" applyFont="1" applyFill="1" applyBorder="1"/>
    <xf fontId="2" fillId="27" borderId="0" numFmtId="0" applyNumberFormat="1" applyFont="1" applyFill="1" applyBorder="1"/>
    <xf fontId="3" fillId="19" borderId="0" numFmtId="0" applyNumberFormat="1" applyFont="1" applyFill="1" applyBorder="1"/>
    <xf fontId="2" fillId="28" borderId="0" numFmtId="0" applyNumberFormat="1" applyFont="1" applyFill="1" applyBorder="1"/>
    <xf fontId="3" fillId="29" borderId="0" numFmtId="0" applyNumberFormat="1" applyFont="1" applyFill="1" applyBorder="1"/>
    <xf fontId="2" fillId="30" borderId="0" numFmtId="0" applyNumberFormat="1" applyFont="1" applyFill="1" applyBorder="1"/>
    <xf fontId="3" fillId="31" borderId="0" numFmtId="0" applyNumberFormat="1" applyFont="1" applyFill="1" applyBorder="1"/>
    <xf fontId="2" fillId="32" borderId="0" numFmtId="0" applyNumberFormat="1" applyFont="1" applyFill="1" applyBorder="1"/>
    <xf fontId="3" fillId="33" borderId="0" numFmtId="0" applyNumberFormat="1" applyFont="1" applyFill="1" applyBorder="1"/>
    <xf fontId="4" fillId="0" borderId="0" numFmtId="0" applyNumberFormat="1" applyFont="1" applyFill="1" applyBorder="1"/>
    <xf fontId="2" fillId="34" borderId="0" numFmtId="0" applyNumberFormat="1" applyFont="1" applyFill="1" applyBorder="1"/>
    <xf fontId="3" fillId="35" borderId="0" numFmtId="0" applyNumberFormat="1" applyFont="1" applyFill="1" applyBorder="1"/>
    <xf fontId="2" fillId="36" borderId="0" numFmtId="0" applyNumberFormat="1" applyFont="1" applyFill="1" applyBorder="1"/>
    <xf fontId="3" fillId="37" borderId="0" numFmtId="0" applyNumberFormat="1" applyFont="1" applyFill="1" applyBorder="1"/>
    <xf fontId="2" fillId="38" borderId="0" numFmtId="0" applyNumberFormat="1" applyFont="1" applyFill="1" applyBorder="1"/>
    <xf fontId="3" fillId="39" borderId="0" numFmtId="0" applyNumberFormat="1" applyFont="1" applyFill="1" applyBorder="1"/>
    <xf fontId="2" fillId="40" borderId="0" numFmtId="0" applyNumberFormat="1" applyFont="1" applyFill="1" applyBorder="1"/>
    <xf fontId="3" fillId="29" borderId="0" numFmtId="0" applyNumberFormat="1" applyFont="1" applyFill="1" applyBorder="1"/>
    <xf fontId="2" fillId="41" borderId="0" numFmtId="0" applyNumberFormat="1" applyFont="1" applyFill="1" applyBorder="1"/>
    <xf fontId="3" fillId="31" borderId="0" numFmtId="0" applyNumberFormat="1" applyFont="1" applyFill="1" applyBorder="1"/>
    <xf fontId="2" fillId="42" borderId="0" numFmtId="0" applyNumberFormat="1" applyFont="1" applyFill="1" applyBorder="1"/>
    <xf fontId="3" fillId="43" borderId="0" numFmtId="0" applyNumberFormat="1" applyFont="1" applyFill="1" applyBorder="1"/>
    <xf fontId="5" fillId="13" borderId="1" numFmtId="0" applyNumberFormat="1" applyFont="1" applyFill="1" applyBorder="1"/>
    <xf fontId="6" fillId="13" borderId="2" numFmtId="0" applyNumberFormat="1" applyFont="1" applyFill="1" applyBorder="1"/>
    <xf fontId="7" fillId="44" borderId="3" numFmtId="0" applyNumberFormat="1" applyFont="1" applyFill="1" applyBorder="1"/>
    <xf fontId="8" fillId="45" borderId="4" numFmtId="0" applyNumberFormat="1" applyFont="1" applyFill="1" applyBorder="1"/>
    <xf fontId="9" fillId="44" borderId="1" numFmtId="0" applyNumberFormat="1" applyFont="1" applyFill="1" applyBorder="1"/>
    <xf fontId="10" fillId="45" borderId="2" numFmtId="0" applyNumberFormat="1" applyFont="1" applyFill="1" applyBorder="1"/>
    <xf fontId="11" fillId="0" borderId="0" numFmtId="0" applyNumberFormat="1" applyFont="1" applyFill="1" applyBorder="1">
      <alignment vertical="top"/>
    </xf>
    <xf fontId="0" fillId="0" borderId="0" numFmtId="160" applyNumberFormat="1" applyFont="1" applyFill="1" applyBorder="1"/>
    <xf fontId="0" fillId="0" borderId="0" numFmtId="161" applyNumberFormat="1" applyFont="1" applyFill="1" applyBorder="1"/>
    <xf fontId="12" fillId="0" borderId="5" numFmtId="0" applyNumberFormat="1" applyFont="1" applyFill="1" applyBorder="1"/>
    <xf fontId="13" fillId="0" borderId="6" numFmtId="0" applyNumberFormat="1" applyFont="1" applyFill="1" applyBorder="1"/>
    <xf fontId="14" fillId="0" borderId="7" numFmtId="0" applyNumberFormat="1" applyFont="1" applyFill="1" applyBorder="1"/>
    <xf fontId="15" fillId="0" borderId="8" numFmtId="0" applyNumberFormat="1" applyFont="1" applyFill="1" applyBorder="1"/>
    <xf fontId="16" fillId="0" borderId="9" numFmtId="0" applyNumberFormat="1" applyFont="1" applyFill="1" applyBorder="1"/>
    <xf fontId="17" fillId="0" borderId="10" numFmtId="0" applyNumberFormat="1" applyFont="1" applyFill="1" applyBorder="1"/>
    <xf fontId="16" fillId="0" borderId="0" numFmtId="0" applyNumberFormat="1" applyFont="1" applyFill="1" applyBorder="1"/>
    <xf fontId="17" fillId="0" borderId="0" numFmtId="0" applyNumberFormat="1" applyFont="1" applyFill="1" applyBorder="1"/>
    <xf fontId="18" fillId="0" borderId="11" numFmtId="0" applyNumberFormat="1" applyFont="1" applyFill="1" applyBorder="1"/>
    <xf fontId="19" fillId="0" borderId="12" numFmtId="0" applyNumberFormat="1" applyFont="1" applyFill="1" applyBorder="1"/>
    <xf fontId="20" fillId="46" borderId="13" numFmtId="0" applyNumberFormat="1" applyFont="1" applyFill="1" applyBorder="1"/>
    <xf fontId="21" fillId="47" borderId="14" numFmtId="0" applyNumberFormat="1" applyFont="1" applyFill="1" applyBorder="1"/>
    <xf fontId="22" fillId="0" borderId="0" numFmtId="0" applyNumberFormat="1" applyFont="1" applyFill="1" applyBorder="1"/>
    <xf fontId="23" fillId="0" borderId="0" numFmtId="0" applyNumberFormat="1" applyFont="1" applyFill="1" applyBorder="1"/>
    <xf fontId="24" fillId="48" borderId="0" numFmtId="0" applyNumberFormat="1" applyFont="1" applyFill="1" applyBorder="1"/>
    <xf fontId="25" fillId="49" borderId="0" numFmtId="0" applyNumberFormat="1" applyFont="1" applyFill="1" applyBorder="1"/>
    <xf fontId="26" fillId="0" borderId="0" numFmtId="0" applyNumberFormat="1" applyFont="1" applyFill="1" applyBorder="1"/>
    <xf fontId="4" fillId="0" borderId="0" numFmtId="0" applyNumberFormat="1" applyFont="1" applyFill="1" applyBorder="1"/>
    <xf fontId="26" fillId="0" borderId="0" numFmtId="0" applyNumberFormat="1" applyFont="1" applyFill="1" applyBorder="1"/>
    <xf fontId="26" fillId="0" borderId="0" numFmtId="0" applyNumberFormat="1" applyFont="1" applyFill="1" applyBorder="1"/>
    <xf fontId="27" fillId="0" borderId="0" numFmtId="0" applyNumberFormat="1" applyFont="1" applyFill="1" applyBorder="1"/>
    <xf fontId="0" fillId="0" borderId="0" numFmtId="0" applyNumberFormat="1" applyFont="1" applyFill="1" applyBorder="1"/>
    <xf fontId="27" fillId="0" borderId="0" numFmtId="0" applyNumberFormat="1" applyFont="1" applyFill="1" applyBorder="1"/>
    <xf fontId="4" fillId="0" borderId="0" numFmtId="0" applyNumberFormat="1" applyFont="1" applyFill="1" applyBorder="1"/>
    <xf fontId="27" fillId="0" borderId="0" numFmtId="0" applyNumberFormat="1" applyFont="1" applyFill="1" applyBorder="1"/>
    <xf fontId="4" fillId="0" borderId="0" numFmtId="0" applyNumberFormat="1" applyFont="1" applyFill="1" applyBorder="1"/>
    <xf fontId="28" fillId="0" borderId="0" numFmtId="0" applyNumberFormat="1" applyFont="1" applyFill="1" applyBorder="1"/>
    <xf fontId="27" fillId="0" borderId="0" numFmtId="0" applyNumberFormat="1" applyFont="1" applyFill="1" applyBorder="1"/>
    <xf fontId="28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27" fillId="0" borderId="0" numFmtId="0" applyNumberFormat="1" applyFont="1" applyFill="1" applyBorder="1"/>
    <xf fontId="26" fillId="0" borderId="0" numFmtId="0" applyNumberFormat="1" applyFont="1" applyFill="1" applyBorder="1"/>
    <xf fontId="29" fillId="0" borderId="0" numFmtId="0" applyNumberFormat="1" applyFont="1" applyFill="1" applyBorder="1"/>
    <xf fontId="27" fillId="0" borderId="0" numFmtId="0" applyNumberFormat="1" applyFont="1" applyFill="1" applyBorder="1"/>
    <xf fontId="30" fillId="0" borderId="0" numFmtId="0" applyNumberFormat="1" applyFont="1" applyFill="1" applyBorder="1">
      <alignment vertical="top"/>
    </xf>
    <xf fontId="31" fillId="50" borderId="0" numFmtId="0" applyNumberFormat="1" applyFont="1" applyFill="1" applyBorder="1"/>
    <xf fontId="32" fillId="5" borderId="0" numFmtId="0" applyNumberFormat="1" applyFont="1" applyFill="1" applyBorder="1"/>
    <xf fontId="33" fillId="0" borderId="0" numFmtId="0" applyNumberFormat="1" applyFont="1" applyFill="1" applyBorder="1"/>
    <xf fontId="34" fillId="0" borderId="0" numFmtId="0" applyNumberFormat="1" applyFont="1" applyFill="1" applyBorder="1"/>
    <xf fontId="0" fillId="51" borderId="15" numFmtId="0" applyNumberFormat="1" applyFont="1" applyFill="1" applyBorder="1"/>
    <xf fontId="1" fillId="51" borderId="16" numFmtId="0" applyNumberFormat="1" applyFont="1" applyFill="1" applyBorder="1"/>
    <xf fontId="0" fillId="0" borderId="0" numFmtId="9" applyNumberFormat="1" applyFont="1" applyFill="1" applyBorder="1"/>
    <xf fontId="4" fillId="0" borderId="0" numFmtId="9" applyNumberFormat="1" applyFont="1" applyFill="1" applyBorder="1"/>
    <xf fontId="35" fillId="0" borderId="0" numFmtId="9" applyNumberFormat="1" applyFont="1" applyFill="1" applyBorder="1"/>
    <xf fontId="26" fillId="0" borderId="0" numFmtId="9" applyNumberFormat="1" applyFont="1" applyFill="1" applyBorder="1"/>
    <xf fontId="27" fillId="0" borderId="0" numFmtId="9" applyNumberFormat="1" applyFont="1" applyFill="1" applyBorder="1"/>
    <xf fontId="0" fillId="0" borderId="0" numFmtId="9" applyNumberFormat="1" applyFont="1" applyFill="1" applyBorder="1"/>
    <xf fontId="36" fillId="0" borderId="17" numFmtId="0" applyNumberFormat="1" applyFont="1" applyFill="1" applyBorder="1"/>
    <xf fontId="37" fillId="0" borderId="18" numFmtId="0" applyNumberFormat="1" applyFont="1" applyFill="1" applyBorder="1"/>
    <xf fontId="38" fillId="0" borderId="0" numFmtId="0" applyNumberFormat="1" applyFont="1" applyFill="1" applyBorder="1"/>
    <xf fontId="39" fillId="0" borderId="0" numFmtId="0" applyNumberFormat="1" applyFont="1" applyFill="1" applyBorder="1"/>
    <xf fontId="40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0" fillId="0" borderId="0" numFmtId="162" applyNumberFormat="1" applyFont="1" applyFill="1" applyBorder="1"/>
    <xf fontId="4" fillId="0" borderId="0" numFmtId="164" applyNumberFormat="1" applyFont="1" applyFill="1" applyBorder="1"/>
    <xf fontId="0" fillId="0" borderId="0" numFmtId="165" applyNumberFormat="1" applyFont="1" applyFill="1" applyBorder="1"/>
    <xf fontId="41" fillId="0" borderId="0" numFmtId="162" applyNumberFormat="1" applyFont="1" applyFill="1" applyBorder="1"/>
    <xf fontId="4" fillId="0" borderId="0" numFmtId="165" applyNumberFormat="1" applyFont="1" applyFill="1" applyBorder="1"/>
    <xf fontId="0" fillId="0" borderId="0" numFmtId="162" applyNumberFormat="1" applyFont="1" applyFill="1" applyBorder="1"/>
    <xf fontId="4" fillId="0" borderId="0" numFmtId="162" applyNumberFormat="1" applyFont="1" applyFill="1" applyBorder="1"/>
    <xf fontId="42" fillId="52" borderId="0" numFmtId="0" applyNumberFormat="1" applyFont="1" applyFill="1" applyBorder="1"/>
    <xf fontId="43" fillId="7" borderId="0" numFmtId="0" applyNumberFormat="1" applyFont="1" applyFill="1" applyBorder="1"/>
  </cellStyleXfs>
  <cellXfs count="616">
    <xf fontId="0" fillId="0" borderId="0" numFmtId="0" xfId="0"/>
    <xf fontId="27" fillId="0" borderId="0" numFmtId="0" xfId="0" applyFont="1" applyAlignment="1">
      <alignment vertical="center"/>
    </xf>
    <xf fontId="0" fillId="0" borderId="0" numFmtId="0" xfId="0" applyAlignment="1">
      <alignment vertical="center"/>
    </xf>
    <xf fontId="44" fillId="53" borderId="19" numFmtId="0" xfId="0" applyFont="1" applyFill="1" applyBorder="1" applyAlignment="1">
      <alignment horizontal="center" vertical="center" wrapText="1"/>
    </xf>
    <xf fontId="44" fillId="53" borderId="0" numFmtId="0" xfId="0" applyFont="1" applyFill="1" applyAlignment="1">
      <alignment horizontal="center" vertical="center" wrapText="1"/>
    </xf>
    <xf fontId="45" fillId="0" borderId="20" numFmtId="0" xfId="0" applyFont="1" applyBorder="1" applyAlignment="1">
      <alignment horizontal="center" vertical="center" wrapText="1"/>
    </xf>
    <xf fontId="45" fillId="0" borderId="21" numFmtId="0" xfId="0" applyFont="1" applyBorder="1" applyAlignment="1">
      <alignment horizontal="center" vertical="center" wrapText="1"/>
    </xf>
    <xf fontId="45" fillId="0" borderId="21" numFmtId="0" xfId="0" applyFont="1" applyBorder="1" applyAlignment="1">
      <alignment horizontal="right" vertical="center" wrapText="1"/>
    </xf>
    <xf fontId="46" fillId="0" borderId="22" numFmtId="0" xfId="0" applyFont="1" applyBorder="1" applyAlignment="1">
      <alignment horizontal="center" vertical="center"/>
    </xf>
    <xf fontId="46" fillId="0" borderId="21" numFmtId="0" xfId="0" applyFont="1" applyBorder="1" applyAlignment="1">
      <alignment horizontal="center" vertical="center"/>
    </xf>
    <xf fontId="46" fillId="0" borderId="21" numFmtId="0" xfId="0" applyFont="1" applyBorder="1" applyAlignment="1">
      <alignment horizontal="right" vertical="center"/>
    </xf>
    <xf fontId="47" fillId="0" borderId="21" numFmtId="0" xfId="0" applyFont="1" applyBorder="1" applyAlignment="1">
      <alignment horizontal="right" vertical="center" wrapText="1"/>
    </xf>
    <xf fontId="44" fillId="0" borderId="23" numFmtId="0" xfId="0" applyFont="1" applyBorder="1" applyAlignment="1">
      <alignment horizontal="center" vertical="center"/>
    </xf>
    <xf fontId="44" fillId="0" borderId="21" numFmtId="0" xfId="0" applyFont="1" applyBorder="1" applyAlignment="1">
      <alignment horizontal="justify" vertical="center" wrapText="1"/>
    </xf>
    <xf fontId="44" fillId="0" borderId="21" numFmtId="2" xfId="0" applyNumberFormat="1" applyFont="1" applyBorder="1" applyAlignment="1">
      <alignment horizontal="right" vertical="center"/>
    </xf>
    <xf fontId="27" fillId="0" borderId="21" numFmtId="166" xfId="0" applyNumberFormat="1" applyFont="1" applyBorder="1" applyAlignment="1">
      <alignment horizontal="right" vertical="center"/>
    </xf>
    <xf fontId="44" fillId="0" borderId="0" numFmtId="166" xfId="0" applyNumberFormat="1" applyFont="1" applyAlignment="1">
      <alignment horizontal="center" vertical="center"/>
    </xf>
    <xf fontId="27" fillId="0" borderId="24" numFmtId="0" xfId="0" applyFont="1" applyBorder="1" applyAlignment="1">
      <alignment horizontal="center" vertical="center"/>
    </xf>
    <xf fontId="27" fillId="0" borderId="21" numFmtId="0" xfId="0" applyFont="1" applyBorder="1" applyAlignment="1">
      <alignment horizontal="justify" vertical="center" wrapText="1"/>
    </xf>
    <xf fontId="44" fillId="0" borderId="21" numFmtId="1" xfId="0" applyNumberFormat="1" applyFont="1" applyBorder="1" applyAlignment="1">
      <alignment horizontal="right" vertical="center"/>
    </xf>
    <xf fontId="27" fillId="0" borderId="25" numFmtId="0" xfId="0" applyFont="1" applyBorder="1" applyAlignment="1">
      <alignment horizontal="center" vertical="center"/>
    </xf>
    <xf fontId="44" fillId="0" borderId="20" numFmtId="0" xfId="0" applyFont="1" applyBorder="1" applyAlignment="1">
      <alignment horizontal="center" vertical="center"/>
    </xf>
    <xf fontId="44" fillId="0" borderId="21" numFmtId="1" xfId="0" applyNumberFormat="1" applyFont="1" applyBorder="1" applyAlignment="1">
      <alignment horizontal="right" vertical="center" wrapText="1"/>
    </xf>
    <xf fontId="44" fillId="0" borderId="24" numFmtId="0" xfId="0" applyFont="1" applyBorder="1" applyAlignment="1">
      <alignment horizontal="center" vertical="center"/>
    </xf>
    <xf fontId="44" fillId="0" borderId="0" numFmtId="1" xfId="0" applyNumberFormat="1" applyFont="1" applyAlignment="1">
      <alignment horizontal="center" vertical="center"/>
    </xf>
    <xf fontId="27" fillId="0" borderId="21" numFmtId="1" xfId="0" applyNumberFormat="1" applyFont="1" applyBorder="1" applyAlignment="1">
      <alignment horizontal="right" vertical="center" wrapText="1"/>
    </xf>
    <xf fontId="27" fillId="0" borderId="21" numFmtId="2" xfId="0" applyNumberFormat="1" applyFont="1" applyBorder="1" applyAlignment="1">
      <alignment horizontal="right" vertical="center"/>
    </xf>
    <xf fontId="47" fillId="0" borderId="0" numFmtId="1" xfId="0" applyNumberFormat="1" applyFont="1" applyAlignment="1">
      <alignment vertical="center" wrapText="1"/>
    </xf>
    <xf fontId="47" fillId="0" borderId="0" numFmtId="0" xfId="0" applyFont="1" applyAlignment="1">
      <alignment vertical="center" wrapText="1"/>
    </xf>
    <xf fontId="44" fillId="54" borderId="21" numFmtId="2" xfId="0" applyNumberFormat="1" applyFont="1" applyFill="1" applyBorder="1" applyAlignment="1">
      <alignment horizontal="right" vertical="center"/>
    </xf>
    <xf fontId="0" fillId="0" borderId="0" numFmtId="167" xfId="0" applyNumberFormat="1" applyAlignment="1">
      <alignment vertical="center"/>
    </xf>
    <xf fontId="27" fillId="0" borderId="21" numFmtId="162" xfId="119" applyNumberFormat="1" applyFont="1" applyBorder="1" applyAlignment="1">
      <alignment horizontal="right" vertical="center"/>
    </xf>
    <xf fontId="27" fillId="0" borderId="26" numFmtId="0" xfId="0" applyFont="1" applyBorder="1" applyAlignment="1">
      <alignment horizontal="center" vertical="center"/>
    </xf>
    <xf fontId="44" fillId="0" borderId="27" numFmtId="0" xfId="0" applyFont="1" applyBorder="1" applyAlignment="1">
      <alignment horizontal="center" vertical="center"/>
    </xf>
    <xf fontId="27" fillId="0" borderId="21" numFmtId="0" xfId="0" applyFont="1" applyBorder="1" applyAlignment="1">
      <alignment horizontal="justify" vertical="center"/>
    </xf>
    <xf fontId="27" fillId="0" borderId="21" numFmtId="1" xfId="0" applyNumberFormat="1" applyFont="1" applyBorder="1" applyAlignment="1">
      <alignment horizontal="right" vertical="center"/>
    </xf>
    <xf fontId="27" fillId="0" borderId="21" numFmtId="2" xfId="119" applyNumberFormat="1" applyFont="1" applyBorder="1" applyAlignment="1">
      <alignment horizontal="right" vertical="center"/>
    </xf>
    <xf fontId="0" fillId="0" borderId="0" numFmtId="2" xfId="0" applyNumberFormat="1" applyAlignment="1">
      <alignment vertical="center"/>
    </xf>
    <xf fontId="44" fillId="0" borderId="22" numFmtId="0" xfId="0" applyFont="1" applyBorder="1" applyAlignment="1">
      <alignment horizontal="center" vertical="center"/>
    </xf>
    <xf fontId="27" fillId="0" borderId="24" numFmtId="16" xfId="0" applyNumberFormat="1" applyFont="1" applyBorder="1" applyAlignment="1">
      <alignment horizontal="center" vertical="center"/>
    </xf>
    <xf fontId="27" fillId="54" borderId="21" numFmtId="162" xfId="119" applyNumberFormat="1" applyFont="1" applyFill="1" applyBorder="1" applyAlignment="1">
      <alignment horizontal="right" vertical="center"/>
    </xf>
    <xf fontId="27" fillId="54" borderId="21" numFmtId="2" xfId="119" applyNumberFormat="1" applyFont="1" applyFill="1" applyBorder="1" applyAlignment="1">
      <alignment horizontal="right" vertical="center"/>
    </xf>
    <xf fontId="44" fillId="0" borderId="21" numFmtId="166" xfId="0" applyNumberFormat="1" applyFont="1" applyBorder="1" applyAlignment="1">
      <alignment horizontal="right" vertical="center"/>
    </xf>
    <xf fontId="48" fillId="0" borderId="21" numFmtId="0" xfId="0" applyFont="1" applyBorder="1" applyAlignment="1">
      <alignment vertical="center"/>
    </xf>
    <xf fontId="48" fillId="0" borderId="21" numFmtId="1" xfId="0" applyNumberFormat="1" applyFont="1" applyBorder="1" applyAlignment="1">
      <alignment horizontal="right" vertical="center"/>
    </xf>
    <xf fontId="27" fillId="0" borderId="21" numFmtId="166" xfId="119" applyNumberFormat="1" applyFont="1" applyBorder="1" applyAlignment="1">
      <alignment horizontal="right" vertical="center"/>
    </xf>
    <xf fontId="27" fillId="54" borderId="21" numFmtId="2" xfId="0" applyNumberFormat="1" applyFont="1" applyFill="1" applyBorder="1" applyAlignment="1">
      <alignment horizontal="right" vertical="center"/>
    </xf>
    <xf fontId="27" fillId="0" borderId="21" numFmtId="0" xfId="119" applyFont="1" applyBorder="1" applyAlignment="1">
      <alignment horizontal="right" vertical="center"/>
    </xf>
    <xf fontId="27" fillId="54" borderId="21" numFmtId="0" xfId="0" applyFont="1" applyFill="1" applyBorder="1" applyAlignment="1">
      <alignment horizontal="right" vertical="center"/>
    </xf>
    <xf fontId="44" fillId="0" borderId="21" numFmtId="162" xfId="119" applyNumberFormat="1" applyFont="1" applyBorder="1" applyAlignment="1">
      <alignment horizontal="right" vertical="center"/>
    </xf>
    <xf fontId="44" fillId="0" borderId="28" numFmtId="0" xfId="0" applyFont="1" applyBorder="1" applyAlignment="1">
      <alignment horizontal="center" vertical="center"/>
    </xf>
    <xf fontId="44" fillId="0" borderId="25" numFmtId="0" xfId="0" applyFont="1" applyBorder="1" applyAlignment="1">
      <alignment horizontal="center" vertical="center"/>
    </xf>
    <xf fontId="44" fillId="0" borderId="26" numFmtId="0" xfId="0" applyFont="1" applyBorder="1" applyAlignment="1">
      <alignment horizontal="center" vertical="center"/>
    </xf>
    <xf fontId="27" fillId="0" borderId="23" numFmtId="0" xfId="0" applyFont="1" applyBorder="1" applyAlignment="1">
      <alignment horizontal="center" vertical="center"/>
    </xf>
    <xf fontId="27" fillId="0" borderId="21" numFmtId="0" xfId="80" applyFont="1" applyBorder="1" applyAlignment="1">
      <alignment horizontal="justify" vertical="center" wrapText="1"/>
    </xf>
    <xf fontId="0" fillId="0" borderId="21" numFmtId="2" xfId="0" applyNumberFormat="1" applyBorder="1" applyAlignment="1">
      <alignment horizontal="right" vertical="center"/>
    </xf>
    <xf fontId="44" fillId="53" borderId="21" numFmtId="0" xfId="0" applyFont="1" applyFill="1" applyBorder="1" applyAlignment="1">
      <alignment horizontal="center" vertical="center" wrapText="1"/>
    </xf>
    <xf fontId="44" fillId="0" borderId="21" numFmtId="0" xfId="0" applyFont="1" applyBorder="1" applyAlignment="1">
      <alignment horizontal="center" vertical="center" wrapText="1"/>
    </xf>
    <xf fontId="44" fillId="0" borderId="21" numFmtId="0" xfId="82" applyFont="1" applyBorder="1" applyAlignment="1">
      <alignment horizontal="center" vertical="center" wrapText="1"/>
    </xf>
    <xf fontId="44" fillId="0" borderId="21" numFmtId="168" xfId="119" applyNumberFormat="1" applyFont="1" applyBorder="1" applyAlignment="1">
      <alignment horizontal="center" vertical="center" wrapText="1"/>
    </xf>
    <xf fontId="44" fillId="0" borderId="21" numFmtId="162" xfId="119" applyNumberFormat="1" applyFont="1" applyBorder="1" applyAlignment="1">
      <alignment horizontal="center" vertical="center" wrapText="1"/>
    </xf>
    <xf fontId="27" fillId="0" borderId="21" numFmtId="49" xfId="0" applyNumberFormat="1" applyFont="1" applyBorder="1" applyAlignment="1">
      <alignment horizontal="center" vertical="center"/>
    </xf>
    <xf fontId="27" fillId="0" borderId="21" numFmtId="0" xfId="0" applyFont="1" applyBorder="1" applyAlignment="1">
      <alignment vertical="center"/>
    </xf>
    <xf fontId="27" fillId="0" borderId="21" numFmtId="168" xfId="0" applyNumberFormat="1" applyFont="1" applyBorder="1" applyAlignment="1">
      <alignment vertical="center"/>
    </xf>
    <xf fontId="27" fillId="54" borderId="21" numFmtId="168" xfId="119" applyNumberFormat="1" applyFont="1" applyFill="1" applyBorder="1" applyAlignment="1">
      <alignment horizontal="center" vertical="center"/>
    </xf>
    <xf fontId="27" fillId="0" borderId="21" numFmtId="168" xfId="119" applyNumberFormat="1" applyFont="1" applyBorder="1" applyAlignment="1">
      <alignment horizontal="center" vertical="center"/>
    </xf>
    <xf fontId="27" fillId="0" borderId="21" numFmtId="0" xfId="0" applyFont="1" applyBorder="1" applyAlignment="1">
      <alignment vertical="center" wrapText="1"/>
    </xf>
    <xf fontId="27" fillId="0" borderId="21" numFmtId="168" xfId="0" applyNumberFormat="1" applyFont="1" applyBorder="1" applyAlignment="1">
      <alignment vertical="center" wrapText="1"/>
    </xf>
    <xf fontId="27" fillId="0" borderId="21" numFmtId="0" xfId="0" applyFont="1" applyBorder="1" applyAlignment="1">
      <alignment horizontal="right" vertical="center"/>
    </xf>
    <xf fontId="27" fillId="0" borderId="21" numFmtId="168" xfId="0" applyNumberFormat="1" applyFont="1" applyBorder="1" applyAlignment="1">
      <alignment horizontal="right" vertical="center"/>
    </xf>
    <xf fontId="0" fillId="0" borderId="21" numFmtId="168" xfId="0" applyNumberFormat="1" applyBorder="1" applyAlignment="1">
      <alignment vertical="center"/>
    </xf>
    <xf fontId="27" fillId="0" borderId="21" numFmtId="162" xfId="119" applyNumberFormat="1" applyFont="1" applyBorder="1" applyAlignment="1">
      <alignment horizontal="center" vertical="center"/>
    </xf>
    <xf fontId="27" fillId="0" borderId="21" numFmtId="49" xfId="82" applyNumberFormat="1" applyFont="1" applyBorder="1" applyAlignment="1">
      <alignment horizontal="center" vertical="center"/>
    </xf>
    <xf fontId="49" fillId="0" borderId="21" numFmtId="0" xfId="82" applyFont="1" applyBorder="1" applyAlignment="1">
      <alignment horizontal="left" vertical="center" wrapText="1"/>
    </xf>
    <xf fontId="44" fillId="0" borderId="21" numFmtId="162" xfId="119" applyNumberFormat="1" applyFont="1" applyBorder="1" applyAlignment="1">
      <alignment horizontal="center" vertical="center"/>
    </xf>
    <xf fontId="27" fillId="0" borderId="21" numFmtId="0" xfId="82" applyFont="1" applyBorder="1" applyAlignment="1">
      <alignment horizontal="left" indent="3" vertical="center" wrapText="1"/>
    </xf>
    <xf fontId="27" fillId="0" borderId="0" numFmtId="49" xfId="82" applyNumberFormat="1" applyFont="1" applyAlignment="1">
      <alignment horizontal="center" vertical="center"/>
    </xf>
    <xf fontId="27" fillId="0" borderId="0" numFmtId="0" xfId="82" applyFont="1" applyAlignment="1">
      <alignment horizontal="left" indent="3" vertical="center" wrapText="1"/>
    </xf>
    <xf fontId="27" fillId="0" borderId="0" numFmtId="162" xfId="119" applyNumberFormat="1" applyFont="1" applyAlignment="1">
      <alignment horizontal="center" vertical="center"/>
    </xf>
    <xf fontId="44" fillId="0" borderId="0" numFmtId="0" xfId="0" applyFont="1" applyAlignment="1">
      <alignment horizontal="left" vertical="center"/>
    </xf>
    <xf fontId="50" fillId="0" borderId="0" numFmtId="0" xfId="0" applyFont="1" applyAlignment="1">
      <alignment horizontal="left" vertical="center" wrapText="1"/>
    </xf>
    <xf fontId="51" fillId="0" borderId="0" numFmtId="169" xfId="0" applyNumberFormat="1" applyFont="1" applyAlignment="1">
      <alignment vertical="center"/>
    </xf>
    <xf fontId="27" fillId="55" borderId="21" numFmtId="0" xfId="0" applyFont="1" applyFill="1" applyBorder="1" applyAlignment="1">
      <alignment horizontal="center" vertical="center"/>
    </xf>
    <xf fontId="27" fillId="55" borderId="21" numFmtId="0" xfId="0" applyFont="1" applyFill="1" applyBorder="1" applyAlignment="1">
      <alignment horizontal="left" vertical="center" wrapText="1"/>
    </xf>
    <xf fontId="27" fillId="0" borderId="21" numFmtId="170" xfId="0" applyNumberFormat="1" applyFont="1" applyBorder="1" applyAlignment="1">
      <alignment horizontal="center" vertical="center"/>
    </xf>
    <xf fontId="27" fillId="55" borderId="21" numFmtId="170" xfId="0" applyNumberFormat="1" applyFont="1" applyFill="1" applyBorder="1" applyAlignment="1">
      <alignment horizontal="center" vertical="center"/>
    </xf>
    <xf fontId="52" fillId="0" borderId="21" numFmtId="0" xfId="0" applyFont="1" applyBorder="1" applyAlignment="1">
      <alignment horizontal="center" vertical="center"/>
    </xf>
    <xf fontId="52" fillId="0" borderId="21" numFmtId="2" xfId="0" applyNumberFormat="1" applyFont="1" applyBorder="1" applyAlignment="1">
      <alignment horizontal="center" vertical="center"/>
    </xf>
    <xf fontId="0" fillId="0" borderId="21" numFmtId="1" xfId="0" applyNumberFormat="1" applyBorder="1" applyAlignment="1">
      <alignment vertical="center"/>
    </xf>
    <xf fontId="48" fillId="0" borderId="21" numFmtId="0" xfId="0" applyFont="1" applyBorder="1" applyAlignment="1">
      <alignment horizontal="left" indent="3" vertical="center"/>
    </xf>
    <xf fontId="48" fillId="0" borderId="21" numFmtId="2" xfId="0" applyNumberFormat="1" applyFont="1" applyBorder="1" applyAlignment="1">
      <alignment horizontal="center" vertical="center"/>
    </xf>
    <xf fontId="48" fillId="0" borderId="21" numFmtId="162" xfId="119" applyNumberFormat="1" applyFont="1" applyBorder="1" applyAlignment="1">
      <alignment horizontal="center" vertical="center"/>
    </xf>
    <xf fontId="48" fillId="0" borderId="21" numFmtId="162" xfId="119" applyNumberFormat="1" applyFont="1" applyBorder="1" applyAlignment="1">
      <alignment horizontal="left" indent="1" vertical="center"/>
    </xf>
    <xf fontId="48" fillId="0" borderId="21" numFmtId="0" xfId="0" applyFont="1" applyBorder="1" applyAlignment="1">
      <alignment horizontal="left" indent="1" vertical="center"/>
    </xf>
    <xf fontId="48" fillId="0" borderId="21" numFmtId="166" xfId="0" applyNumberFormat="1" applyFont="1" applyBorder="1" applyAlignment="1">
      <alignment horizontal="center" vertical="center"/>
    </xf>
    <xf fontId="52" fillId="0" borderId="21" numFmtId="166" xfId="0" applyNumberFormat="1" applyFont="1" applyBorder="1" applyAlignment="1">
      <alignment horizontal="center" vertical="center"/>
    </xf>
    <xf fontId="48" fillId="0" borderId="21" numFmtId="162" xfId="119" applyNumberFormat="1" applyFont="1" applyBorder="1" applyAlignment="1">
      <alignment vertical="center"/>
    </xf>
    <xf fontId="48" fillId="0" borderId="21" numFmtId="9" xfId="110" applyNumberFormat="1" applyFont="1" applyBorder="1" applyAlignment="1">
      <alignment vertical="center"/>
    </xf>
    <xf fontId="52" fillId="54" borderId="21" numFmtId="0" xfId="0" applyFont="1" applyFill="1" applyBorder="1" applyAlignment="1">
      <alignment vertical="center"/>
    </xf>
    <xf fontId="48" fillId="0" borderId="21" numFmtId="162" xfId="117" applyNumberFormat="1" applyFont="1" applyBorder="1" applyAlignment="1">
      <alignment vertical="center"/>
    </xf>
    <xf fontId="53" fillId="0" borderId="21" numFmtId="162" xfId="117" applyNumberFormat="1" applyFont="1" applyBorder="1" applyAlignment="1">
      <alignment vertical="center"/>
    </xf>
    <xf fontId="0" fillId="0" borderId="21" numFmtId="162" xfId="117" applyNumberFormat="1" applyBorder="1" applyAlignment="1">
      <alignment vertical="center"/>
    </xf>
    <xf fontId="27" fillId="0" borderId="0" numFmtId="0" xfId="0" applyFont="1" applyAlignment="1">
      <alignment vertical="center" wrapText="1"/>
    </xf>
    <xf fontId="0" fillId="0" borderId="0" numFmtId="9" xfId="110" applyNumberFormat="1" applyAlignment="1">
      <alignment vertical="center"/>
    </xf>
    <xf fontId="54" fillId="0" borderId="21" numFmtId="0" xfId="89" applyFont="1" applyBorder="1" applyAlignment="1" applyProtection="1">
      <alignment horizontal="left" vertical="center" wrapText="1"/>
    </xf>
    <xf fontId="48" fillId="0" borderId="21" numFmtId="1" xfId="0" applyNumberFormat="1" applyFont="1" applyBorder="1" applyAlignment="1">
      <alignment horizontal="center" vertical="center"/>
    </xf>
    <xf fontId="48" fillId="0" borderId="21" numFmtId="162" xfId="117" applyNumberFormat="1" applyFont="1" applyBorder="1" applyAlignment="1">
      <alignment horizontal="center" vertical="center"/>
    </xf>
    <xf fontId="53" fillId="0" borderId="21" numFmtId="162" xfId="117" applyNumberFormat="1" applyFont="1" applyBorder="1" applyAlignment="1">
      <alignment horizontal="center" vertical="center"/>
    </xf>
    <xf fontId="48" fillId="0" borderId="21" numFmtId="0" xfId="0" applyFont="1" applyBorder="1" applyAlignment="1">
      <alignment horizontal="left" vertical="center"/>
    </xf>
    <xf fontId="48" fillId="0" borderId="21" numFmtId="1" xfId="119" applyNumberFormat="1" applyFont="1" applyBorder="1" applyAlignment="1">
      <alignment horizontal="center" vertical="center"/>
    </xf>
    <xf fontId="48" fillId="0" borderId="21" numFmtId="166" xfId="119" applyNumberFormat="1" applyFont="1" applyBorder="1" applyAlignment="1">
      <alignment horizontal="center" vertical="center"/>
    </xf>
    <xf fontId="53" fillId="0" borderId="21" numFmtId="166" xfId="119" applyNumberFormat="1" applyFont="1" applyBorder="1" applyAlignment="1">
      <alignment horizontal="center" vertical="center"/>
    </xf>
    <xf fontId="53" fillId="0" borderId="21" numFmtId="166" xfId="0" applyNumberFormat="1" applyFont="1" applyBorder="1" applyAlignment="1">
      <alignment horizontal="center" vertical="center"/>
    </xf>
    <xf fontId="52" fillId="0" borderId="21" numFmtId="0" xfId="0" applyFont="1" applyBorder="1" applyAlignment="1">
      <alignment vertical="center"/>
    </xf>
    <xf fontId="54" fillId="0" borderId="21" numFmtId="1" xfId="96" applyNumberFormat="1" applyFont="1" applyBorder="1" applyAlignment="1" applyProtection="1">
      <alignment horizontal="left" vertical="center" wrapText="1"/>
    </xf>
    <xf fontId="54" fillId="0" borderId="21" numFmtId="0" xfId="76" applyFont="1" applyBorder="1" applyAlignment="1" applyProtection="1">
      <alignment horizontal="left" vertical="center" wrapText="1"/>
    </xf>
    <xf fontId="55" fillId="0" borderId="21" numFmtId="0" xfId="0" applyFont="1" applyBorder="1" applyAlignment="1">
      <alignment vertical="center"/>
    </xf>
    <xf fontId="56" fillId="0" borderId="21" numFmtId="0" xfId="0" applyFont="1" applyBorder="1" applyAlignment="1">
      <alignment vertical="center"/>
    </xf>
    <xf fontId="53" fillId="0" borderId="21" numFmtId="1" xfId="0" applyNumberFormat="1" applyFont="1" applyBorder="1" applyAlignment="1">
      <alignment horizontal="center" vertical="center"/>
    </xf>
    <xf fontId="48" fillId="54" borderId="21" numFmtId="0" xfId="0" applyFont="1" applyFill="1" applyBorder="1" applyAlignment="1">
      <alignment horizontal="left" indent="1" vertical="center"/>
    </xf>
    <xf fontId="48" fillId="0" borderId="21" numFmtId="0" xfId="0" applyFont="1" applyBorder="1" applyAlignment="1">
      <alignment horizontal="left" indent="2" vertical="center"/>
    </xf>
    <xf fontId="27" fillId="0" borderId="21" numFmtId="1" xfId="0" applyNumberFormat="1" applyFont="1" applyBorder="1" applyAlignment="1">
      <alignment vertical="center"/>
    </xf>
    <xf fontId="27" fillId="0" borderId="21" numFmtId="166" xfId="0" applyNumberFormat="1" applyFont="1" applyBorder="1" applyAlignment="1">
      <alignment vertical="center"/>
    </xf>
    <xf fontId="27" fillId="55" borderId="0" numFmtId="0" xfId="98" applyFont="1" applyFill="1" applyAlignment="1">
      <alignment vertical="center"/>
    </xf>
    <xf fontId="27" fillId="0" borderId="0" numFmtId="0" xfId="98" applyFont="1" applyAlignment="1">
      <alignment vertical="center"/>
    </xf>
    <xf fontId="57" fillId="0" borderId="0" numFmtId="0" xfId="95" applyFont="1" applyAlignment="1">
      <alignment vertical="center"/>
    </xf>
    <xf fontId="58" fillId="0" borderId="0" numFmtId="0" xfId="95" applyFont="1" applyAlignment="1">
      <alignment horizontal="center" vertical="center"/>
    </xf>
    <xf fontId="59" fillId="0" borderId="0" numFmtId="0" xfId="95" applyFont="1" applyAlignment="1">
      <alignment horizontal="center" vertical="center"/>
    </xf>
    <xf fontId="60" fillId="0" borderId="0" numFmtId="0" xfId="80" applyFont="1" applyAlignment="1">
      <alignment vertical="center"/>
    </xf>
    <xf fontId="61" fillId="56" borderId="0" numFmtId="0" xfId="95" applyFont="1" applyFill="1" applyAlignment="1">
      <alignment horizontal="center" vertical="center"/>
    </xf>
    <xf fontId="62" fillId="56" borderId="0" numFmtId="0" xfId="95" applyFont="1" applyFill="1" applyAlignment="1">
      <alignment horizontal="center" vertical="center" wrapText="1"/>
    </xf>
    <xf fontId="63" fillId="0" borderId="0" numFmtId="171" xfId="124" applyNumberFormat="1" applyFont="1" applyAlignment="1">
      <alignment horizontal="center" vertical="center"/>
    </xf>
    <xf fontId="64" fillId="0" borderId="0" numFmtId="171" xfId="124" applyNumberFormat="1" applyFont="1" applyAlignment="1">
      <alignment horizontal="center" vertical="center"/>
    </xf>
    <xf fontId="63" fillId="0" borderId="0" numFmtId="0" xfId="80" applyFont="1" applyAlignment="1">
      <alignment vertical="center" wrapText="1"/>
    </xf>
    <xf fontId="63" fillId="0" borderId="0" numFmtId="0" xfId="95" applyFont="1" applyAlignment="1">
      <alignment vertical="center" wrapText="1"/>
    </xf>
    <xf fontId="60" fillId="0" borderId="0" numFmtId="0" xfId="81" applyFont="1" applyAlignment="1">
      <alignment vertical="center"/>
    </xf>
    <xf fontId="59" fillId="0" borderId="0" numFmtId="1" xfId="95" applyNumberFormat="1" applyFont="1" applyAlignment="1">
      <alignment horizontal="center" vertical="center"/>
    </xf>
    <xf fontId="64" fillId="0" borderId="0" numFmtId="168" xfId="124" applyNumberFormat="1" applyFont="1" applyAlignment="1">
      <alignment horizontal="center" vertical="center"/>
    </xf>
    <xf fontId="63" fillId="0" borderId="0" numFmtId="168" xfId="124" applyNumberFormat="1" applyFont="1" applyAlignment="1">
      <alignment horizontal="center" vertical="center"/>
    </xf>
    <xf fontId="65" fillId="0" borderId="0" numFmtId="0" xfId="95" applyFont="1" applyAlignment="1">
      <alignment horizontal="center" vertical="center"/>
    </xf>
    <xf fontId="63" fillId="0" borderId="0" numFmtId="0" xfId="95" applyFont="1" applyAlignment="1">
      <alignment horizontal="left" vertical="center" wrapText="1"/>
    </xf>
    <xf fontId="63" fillId="0" borderId="0" numFmtId="168" xfId="124" applyNumberFormat="1" applyFont="1" applyAlignment="1">
      <alignment horizontal="center" vertical="center" wrapText="1"/>
    </xf>
    <xf fontId="59" fillId="0" borderId="0" numFmtId="172" xfId="95" applyNumberFormat="1" applyFont="1" applyAlignment="1">
      <alignment vertical="center"/>
    </xf>
    <xf fontId="59" fillId="0" borderId="0" numFmtId="0" xfId="95" applyFont="1" applyAlignment="1">
      <alignment vertical="center"/>
    </xf>
    <xf fontId="63" fillId="0" borderId="0" numFmtId="0" xfId="80" applyFont="1" applyAlignment="1">
      <alignment horizontal="center" vertical="center" wrapText="1"/>
    </xf>
    <xf fontId="60" fillId="0" borderId="0" numFmtId="0" xfId="80" applyFont="1" applyAlignment="1">
      <alignment vertical="center" wrapText="1"/>
    </xf>
    <xf fontId="63" fillId="0" borderId="0" numFmtId="162" xfId="124" applyNumberFormat="1" applyFont="1" applyAlignment="1">
      <alignment horizontal="center" vertical="center"/>
    </xf>
    <xf fontId="63" fillId="0" borderId="0" numFmtId="0" xfId="95" applyFont="1" applyAlignment="1">
      <alignment horizontal="center" vertical="center"/>
    </xf>
    <xf fontId="59" fillId="0" borderId="0" numFmtId="4" xfId="95" applyNumberFormat="1" applyFont="1" applyAlignment="1">
      <alignment horizontal="center" vertical="center"/>
    </xf>
    <xf fontId="64" fillId="57" borderId="0" numFmtId="0" xfId="95" applyFont="1" applyFill="1" applyAlignment="1">
      <alignment horizontal="center" vertical="center"/>
    </xf>
    <xf fontId="64" fillId="57" borderId="0" numFmtId="168" xfId="124" applyNumberFormat="1" applyFont="1" applyFill="1" applyAlignment="1">
      <alignment horizontal="center" vertical="center"/>
    </xf>
    <xf fontId="64" fillId="57" borderId="0" numFmtId="171" xfId="124" applyNumberFormat="1" applyFont="1" applyFill="1" applyAlignment="1">
      <alignment horizontal="center" vertical="center"/>
    </xf>
    <xf fontId="63" fillId="0" borderId="0" numFmtId="0" xfId="95" applyFont="1" applyAlignment="1">
      <alignment horizontal="right" vertical="center"/>
    </xf>
    <xf fontId="63" fillId="0" borderId="0" numFmtId="173" xfId="111" applyNumberFormat="1" applyFont="1" applyAlignment="1">
      <alignment horizontal="center" vertical="center"/>
    </xf>
    <xf fontId="58" fillId="0" borderId="0" numFmtId="174" xfId="95" applyNumberFormat="1" applyFont="1" applyAlignment="1">
      <alignment horizontal="center" vertical="center"/>
    </xf>
    <xf fontId="64" fillId="0" borderId="0" numFmtId="0" xfId="95" applyFont="1" applyAlignment="1">
      <alignment horizontal="right" vertical="center"/>
    </xf>
    <xf fontId="59" fillId="0" borderId="0" numFmtId="172" xfId="95" applyNumberFormat="1" applyFont="1" applyAlignment="1">
      <alignment horizontal="center" vertical="center"/>
    </xf>
    <xf fontId="64" fillId="0" borderId="0" numFmtId="0" xfId="95" applyFont="1" applyAlignment="1">
      <alignment horizontal="center" vertical="center"/>
    </xf>
    <xf fontId="58" fillId="0" borderId="0" numFmtId="0" xfId="95" applyFont="1" applyAlignment="1">
      <alignment horizontal="center" vertical="center" wrapText="1"/>
    </xf>
    <xf fontId="59" fillId="0" borderId="0" numFmtId="3" xfId="95" applyNumberFormat="1" applyFont="1" applyAlignment="1">
      <alignment horizontal="center" vertical="center"/>
    </xf>
    <xf fontId="62" fillId="56" borderId="0" numFmtId="0" xfId="95" applyFont="1" applyFill="1" applyAlignment="1">
      <alignment horizontal="center" vertical="center"/>
    </xf>
    <xf fontId="66" fillId="57" borderId="0" numFmtId="0" xfId="95" applyFont="1" applyFill="1" applyAlignment="1">
      <alignment horizontal="center" vertical="center"/>
    </xf>
    <xf fontId="66" fillId="57" borderId="0" numFmtId="168" xfId="124" applyNumberFormat="1" applyFont="1" applyFill="1" applyAlignment="1">
      <alignment horizontal="center" vertical="center"/>
    </xf>
    <xf fontId="67" fillId="0" borderId="0" numFmtId="0" xfId="95" applyFont="1" applyAlignment="1">
      <alignment horizontal="right" vertical="center"/>
    </xf>
    <xf fontId="67" fillId="0" borderId="0" numFmtId="168" xfId="124" applyNumberFormat="1" applyFont="1" applyAlignment="1">
      <alignment horizontal="center" vertical="center"/>
    </xf>
    <xf fontId="68" fillId="0" borderId="0" numFmtId="0" xfId="95" applyFont="1" applyAlignment="1">
      <alignment horizontal="center" vertical="center"/>
    </xf>
    <xf fontId="68" fillId="0" borderId="0" numFmtId="168" xfId="124" applyNumberFormat="1" applyFont="1" applyAlignment="1">
      <alignment horizontal="center" vertical="center"/>
    </xf>
    <xf fontId="63" fillId="0" borderId="0" numFmtId="3" xfId="95" applyNumberFormat="1" applyFont="1" applyAlignment="1">
      <alignment horizontal="right" vertical="center"/>
    </xf>
    <xf fontId="59" fillId="0" borderId="0" numFmtId="0" xfId="95" applyFont="1" applyAlignment="1">
      <alignment horizontal="right" vertical="center"/>
    </xf>
    <xf fontId="59" fillId="0" borderId="0" numFmtId="1" xfId="95" applyNumberFormat="1" applyFont="1" applyAlignment="1">
      <alignment vertical="center"/>
    </xf>
    <xf fontId="66" fillId="57" borderId="0" numFmtId="168" xfId="95" applyNumberFormat="1" applyFont="1" applyFill="1" applyAlignment="1">
      <alignment horizontal="center" vertical="center"/>
    </xf>
    <xf fontId="60" fillId="54" borderId="0" numFmtId="0" xfId="80" applyFont="1" applyFill="1" applyAlignment="1">
      <alignment vertical="center" wrapText="1"/>
    </xf>
    <xf fontId="64" fillId="57" borderId="0" numFmtId="0" xfId="95" applyFont="1" applyFill="1" applyAlignment="1">
      <alignment horizontal="right" vertical="center"/>
    </xf>
    <xf fontId="64" fillId="57" borderId="0" numFmtId="168" xfId="95" applyNumberFormat="1" applyFont="1" applyFill="1" applyAlignment="1">
      <alignment horizontal="center" vertical="center"/>
    </xf>
    <xf fontId="63" fillId="0" borderId="0" numFmtId="168" xfId="95" applyNumberFormat="1" applyFont="1" applyAlignment="1">
      <alignment horizontal="center" vertical="center"/>
    </xf>
    <xf fontId="63" fillId="0" borderId="0" numFmtId="9" xfId="109" applyNumberFormat="1" applyFont="1" applyAlignment="1">
      <alignment horizontal="center" vertical="center"/>
    </xf>
    <xf fontId="58" fillId="0" borderId="0" numFmtId="3" xfId="95" applyNumberFormat="1" applyFont="1" applyAlignment="1">
      <alignment horizontal="center" vertical="center"/>
    </xf>
    <xf fontId="64" fillId="0" borderId="0" numFmtId="168" xfId="123" applyNumberFormat="1" applyFont="1" applyAlignment="1">
      <alignment horizontal="center" vertical="center"/>
    </xf>
    <xf fontId="69" fillId="0" borderId="0" numFmtId="168" xfId="95" applyNumberFormat="1" applyFont="1" applyAlignment="1">
      <alignment horizontal="center" vertical="center"/>
    </xf>
    <xf fontId="63" fillId="0" borderId="0" numFmtId="168" xfId="123" applyNumberFormat="1" applyFont="1" applyAlignment="1">
      <alignment horizontal="center" vertical="center"/>
    </xf>
    <xf fontId="69" fillId="54" borderId="0" numFmtId="9" xfId="111" applyNumberFormat="1" applyFont="1" applyFill="1" applyAlignment="1">
      <alignment horizontal="center" vertical="center"/>
    </xf>
    <xf fontId="58" fillId="0" borderId="0" numFmtId="168" xfId="124" applyNumberFormat="1" applyFont="1" applyAlignment="1">
      <alignment horizontal="center" vertical="center"/>
    </xf>
    <xf fontId="64" fillId="0" borderId="0" numFmtId="0" xfId="95" applyFont="1" applyAlignment="1">
      <alignment horizontal="center" vertical="center" wrapText="1"/>
    </xf>
    <xf fontId="63" fillId="0" borderId="0" numFmtId="0" xfId="0" applyFont="1" applyAlignment="1">
      <alignment vertical="center" wrapText="1"/>
    </xf>
    <xf fontId="27" fillId="0" borderId="0" numFmtId="0" xfId="80" applyFont="1" applyAlignment="1">
      <alignment vertical="center"/>
    </xf>
    <xf fontId="59" fillId="0" borderId="0" numFmtId="173" xfId="110" applyNumberFormat="1" applyFont="1" applyAlignment="1">
      <alignment horizontal="center" vertical="center"/>
    </xf>
    <xf fontId="63" fillId="0" borderId="0" numFmtId="0" xfId="95" applyFont="1" applyAlignment="1">
      <alignment horizontal="center" vertical="center" wrapText="1"/>
    </xf>
    <xf fontId="70" fillId="0" borderId="0" numFmtId="0" xfId="95" applyFont="1" applyAlignment="1">
      <alignment horizontal="center" vertical="center"/>
    </xf>
    <xf fontId="63" fillId="0" borderId="0" numFmtId="173" xfId="110" applyNumberFormat="1" applyFont="1" applyAlignment="1">
      <alignment horizontal="center" vertical="center"/>
    </xf>
    <xf fontId="59" fillId="0" borderId="0" numFmtId="0" xfId="95" applyFont="1" applyAlignment="1">
      <alignment vertical="center" wrapText="1"/>
    </xf>
    <xf fontId="63" fillId="0" borderId="0" numFmtId="173" xfId="109" applyNumberFormat="1" applyFont="1" applyAlignment="1">
      <alignment horizontal="center" vertical="center"/>
    </xf>
    <xf fontId="71" fillId="0" borderId="0" numFmtId="0" xfId="0" applyFont="1" applyAlignment="1">
      <alignment vertical="center" wrapText="1"/>
    </xf>
    <xf fontId="71" fillId="0" borderId="0" numFmtId="0" xfId="95" applyFont="1" applyAlignment="1">
      <alignment vertical="center" wrapText="1"/>
    </xf>
    <xf fontId="47" fillId="55" borderId="0" numFmtId="49" xfId="82" applyNumberFormat="1" applyFont="1" applyFill="1" applyAlignment="1">
      <alignment horizontal="center" vertical="center"/>
    </xf>
    <xf fontId="27" fillId="55" borderId="0" numFmtId="0" xfId="82" applyFont="1" applyFill="1" applyAlignment="1">
      <alignment horizontal="left" wrapText="1"/>
    </xf>
    <xf fontId="47" fillId="55" borderId="0" numFmtId="0" xfId="82" applyFont="1" applyFill="1" applyAlignment="1">
      <alignment horizontal="center" vertical="center" wrapText="1"/>
    </xf>
    <xf fontId="27" fillId="55" borderId="0" numFmtId="0" xfId="82" applyFont="1" applyFill="1" applyAlignment="1">
      <alignment horizontal="center" vertical="center" wrapText="1"/>
    </xf>
    <xf fontId="27" fillId="55" borderId="0" numFmtId="0" xfId="82" applyFont="1" applyFill="1"/>
    <xf fontId="47" fillId="0" borderId="0" numFmtId="49" xfId="82" applyNumberFormat="1" applyFont="1" applyAlignment="1">
      <alignment horizontal="center" vertical="center"/>
    </xf>
    <xf fontId="27" fillId="0" borderId="0" numFmtId="0" xfId="82" applyFont="1" applyAlignment="1">
      <alignment horizontal="left" wrapText="1"/>
    </xf>
    <xf fontId="47" fillId="0" borderId="0" numFmtId="0" xfId="82" applyFont="1" applyAlignment="1">
      <alignment horizontal="center" vertical="center" wrapText="1"/>
    </xf>
    <xf fontId="27" fillId="0" borderId="0" numFmtId="0" xfId="82" applyFont="1" applyAlignment="1">
      <alignment horizontal="center" vertical="center" wrapText="1"/>
    </xf>
    <xf fontId="27" fillId="0" borderId="0" numFmtId="0" xfId="82" applyFont="1"/>
    <xf fontId="72" fillId="0" borderId="0" numFmtId="0" xfId="82" applyFont="1"/>
    <xf fontId="57" fillId="0" borderId="0" numFmtId="0" xfId="0" applyFont="1" applyAlignment="1">
      <alignment horizontal="right" vertical="center"/>
    </xf>
    <xf fontId="57" fillId="55" borderId="0" numFmtId="0" xfId="0" applyFont="1" applyFill="1" applyAlignment="1">
      <alignment horizontal="right" vertical="center"/>
    </xf>
    <xf fontId="73" fillId="0" borderId="0" numFmtId="0" xfId="0" applyFont="1" applyAlignment="1">
      <alignment horizontal="right" vertical="center"/>
    </xf>
    <xf fontId="73" fillId="55" borderId="0" numFmtId="0" xfId="0" applyFont="1" applyFill="1" applyAlignment="1">
      <alignment horizontal="right" vertical="center"/>
    </xf>
    <xf fontId="74" fillId="0" borderId="0" numFmtId="0" xfId="82" applyFont="1" applyAlignment="1">
      <alignment horizontal="center" vertical="center" wrapText="1"/>
    </xf>
    <xf fontId="74" fillId="55" borderId="0" numFmtId="0" xfId="82" applyFont="1" applyFill="1" applyAlignment="1">
      <alignment horizontal="center" vertical="center" wrapText="1"/>
    </xf>
    <xf fontId="75" fillId="0" borderId="0" numFmtId="0" xfId="0" applyFont="1" applyAlignment="1">
      <alignment horizontal="left" vertical="center"/>
    </xf>
    <xf fontId="76" fillId="0" borderId="0" numFmtId="0" xfId="0" applyFont="1" applyAlignment="1">
      <alignment horizontal="left" vertical="center"/>
    </xf>
    <xf fontId="77" fillId="0" borderId="0" numFmtId="0" xfId="82" applyFont="1" applyAlignment="1">
      <alignment horizontal="left" vertical="center" wrapText="1"/>
    </xf>
    <xf fontId="27" fillId="0" borderId="0" numFmtId="0" xfId="82" applyFont="1" applyAlignment="1">
      <alignment horizontal="left" vertical="center" wrapText="1"/>
    </xf>
    <xf fontId="27" fillId="0" borderId="0" numFmtId="0" xfId="82" applyFont="1" applyAlignment="1">
      <alignment horizontal="left"/>
    </xf>
    <xf fontId="78" fillId="0" borderId="0" numFmtId="0" xfId="0" applyFont="1" applyAlignment="1">
      <alignment horizontal="left" vertical="top"/>
    </xf>
    <xf fontId="73" fillId="0" borderId="0" numFmtId="0" xfId="0" applyFont="1" applyAlignment="1">
      <alignment horizontal="left" vertical="center"/>
    </xf>
    <xf fontId="73" fillId="0" borderId="0" numFmtId="0" xfId="0" applyFont="1" applyAlignment="1">
      <alignment horizontal="center" vertical="center"/>
    </xf>
    <xf fontId="73" fillId="0" borderId="0" numFmtId="0" xfId="0" applyFont="1" applyAlignment="1">
      <alignment horizontal="left" vertical="center" wrapText="1"/>
    </xf>
    <xf fontId="78" fillId="0" borderId="0" numFmtId="0" xfId="0" applyFont="1" applyAlignment="1">
      <alignment horizontal="center" vertical="top"/>
    </xf>
    <xf fontId="79" fillId="0" borderId="0" numFmtId="0" xfId="82" applyFont="1" applyAlignment="1">
      <alignment horizontal="center" vertical="center" wrapText="1"/>
    </xf>
    <xf fontId="79" fillId="55" borderId="0" numFmtId="0" xfId="82" applyFont="1" applyFill="1" applyAlignment="1">
      <alignment horizontal="center" vertical="center" wrapText="1"/>
    </xf>
    <xf fontId="80" fillId="0" borderId="29" numFmtId="49" xfId="82" applyNumberFormat="1" applyFont="1" applyBorder="1" applyAlignment="1">
      <alignment horizontal="center" vertical="center" wrapText="1"/>
    </xf>
    <xf fontId="45" fillId="0" borderId="30" numFmtId="0" xfId="82" applyFont="1" applyBorder="1" applyAlignment="1">
      <alignment horizontal="center" vertical="center" wrapText="1"/>
    </xf>
    <xf fontId="45" fillId="0" borderId="29" numFmtId="0" xfId="82" applyFont="1" applyBorder="1" applyAlignment="1">
      <alignment horizontal="center" vertical="center" wrapText="1"/>
    </xf>
    <xf fontId="45" fillId="0" borderId="31" numFmtId="0" xfId="82" applyFont="1" applyBorder="1" applyAlignment="1">
      <alignment horizontal="center" vertical="center" wrapText="1"/>
    </xf>
    <xf fontId="44" fillId="55" borderId="32" numFmtId="0" xfId="82" applyFont="1" applyFill="1" applyBorder="1" applyAlignment="1">
      <alignment horizontal="center" vertical="center" wrapText="1"/>
    </xf>
    <xf fontId="44" fillId="55" borderId="31" numFmtId="0" xfId="82" applyFont="1" applyFill="1" applyBorder="1" applyAlignment="1">
      <alignment horizontal="center" vertical="center" wrapText="1"/>
    </xf>
    <xf fontId="44" fillId="55" borderId="33" numFmtId="0" xfId="82" applyFont="1" applyFill="1" applyBorder="1" applyAlignment="1">
      <alignment horizontal="center" vertical="center" wrapText="1"/>
    </xf>
    <xf fontId="44" fillId="55" borderId="34" numFmtId="0" xfId="82" applyFont="1" applyFill="1" applyBorder="1" applyAlignment="1">
      <alignment horizontal="center" vertical="center" wrapText="1"/>
    </xf>
    <xf fontId="44" fillId="0" borderId="0" numFmtId="0" xfId="82" applyFont="1" applyAlignment="1">
      <alignment horizontal="center" vertical="center" wrapText="1"/>
    </xf>
    <xf fontId="80" fillId="0" borderId="35" numFmtId="49" xfId="82" applyNumberFormat="1" applyFont="1" applyBorder="1" applyAlignment="1">
      <alignment horizontal="center" vertical="center" wrapText="1"/>
    </xf>
    <xf fontId="45" fillId="0" borderId="0" numFmtId="0" xfId="82" applyFont="1" applyAlignment="1">
      <alignment horizontal="center" vertical="center" wrapText="1"/>
    </xf>
    <xf fontId="45" fillId="0" borderId="35" numFmtId="0" xfId="82" applyFont="1" applyBorder="1" applyAlignment="1">
      <alignment horizontal="center" vertical="center" wrapText="1"/>
    </xf>
    <xf fontId="81" fillId="0" borderId="36" numFmtId="0" xfId="82" applyFont="1" applyBorder="1" applyAlignment="1">
      <alignment horizontal="center" vertical="center" wrapText="1"/>
    </xf>
    <xf fontId="81" fillId="55" borderId="37" numFmtId="0" xfId="82" applyFont="1" applyFill="1" applyBorder="1" applyAlignment="1">
      <alignment horizontal="center" vertical="center" wrapText="1"/>
    </xf>
    <xf fontId="81" fillId="0" borderId="37" numFmtId="0" xfId="82" applyFont="1" applyBorder="1" applyAlignment="1">
      <alignment horizontal="center" vertical="center" wrapText="1"/>
    </xf>
    <xf fontId="81" fillId="0" borderId="0" numFmtId="0" xfId="82" applyFont="1" applyAlignment="1">
      <alignment horizontal="center" vertical="center" wrapText="1"/>
    </xf>
    <xf fontId="27" fillId="55" borderId="0" numFmtId="0" xfId="82" applyFont="1" applyFill="1" applyAlignment="1">
      <alignment vertical="center"/>
    </xf>
    <xf fontId="82" fillId="0" borderId="38" numFmtId="49" xfId="82" applyNumberFormat="1" applyFont="1" applyBorder="1" applyAlignment="1">
      <alignment horizontal="center" vertical="center"/>
    </xf>
    <xf fontId="82" fillId="0" borderId="39" numFmtId="0" xfId="82" applyFont="1" applyBorder="1" applyAlignment="1">
      <alignment horizontal="center" vertical="center" wrapText="1"/>
    </xf>
    <xf fontId="82" fillId="0" borderId="38" numFmtId="0" xfId="82" applyFont="1" applyBorder="1" applyAlignment="1">
      <alignment horizontal="center" vertical="center" wrapText="1"/>
    </xf>
    <xf fontId="82" fillId="0" borderId="40" numFmtId="0" xfId="82" applyFont="1" applyBorder="1" applyAlignment="1">
      <alignment horizontal="center" vertical="center" wrapText="1"/>
    </xf>
    <xf fontId="82" fillId="0" borderId="41" numFmtId="49" xfId="82" applyNumberFormat="1" applyFont="1" applyBorder="1" applyAlignment="1">
      <alignment horizontal="center" vertical="center"/>
    </xf>
    <xf fontId="82" fillId="0" borderId="42" numFmtId="49" xfId="82" applyNumberFormat="1" applyFont="1" applyBorder="1" applyAlignment="1">
      <alignment horizontal="center" vertical="center"/>
    </xf>
    <xf fontId="82" fillId="0" borderId="43" numFmtId="49" xfId="82" applyNumberFormat="1" applyFont="1" applyBorder="1" applyAlignment="1">
      <alignment horizontal="center" vertical="center"/>
    </xf>
    <xf fontId="82" fillId="0" borderId="0" numFmtId="0" xfId="82" applyFont="1" applyAlignment="1">
      <alignment horizontal="center" vertical="center" wrapText="1"/>
    </xf>
    <xf fontId="83" fillId="0" borderId="22" numFmtId="49" xfId="82" applyNumberFormat="1" applyFont="1" applyBorder="1" applyAlignment="1">
      <alignment horizontal="center" vertical="center"/>
    </xf>
    <xf fontId="83" fillId="0" borderId="39" numFmtId="49" xfId="82" applyNumberFormat="1" applyFont="1" applyBorder="1" applyAlignment="1">
      <alignment horizontal="center" vertical="center"/>
    </xf>
    <xf fontId="83" fillId="0" borderId="30" numFmtId="49" xfId="82" applyNumberFormat="1" applyFont="1" applyBorder="1" applyAlignment="1">
      <alignment horizontal="center" vertical="center"/>
    </xf>
    <xf fontId="83" fillId="0" borderId="44" numFmtId="49" xfId="82" applyNumberFormat="1" applyFont="1" applyBorder="1" applyAlignment="1">
      <alignment horizontal="center" vertical="center"/>
    </xf>
    <xf fontId="83" fillId="0" borderId="0" numFmtId="49" xfId="82" applyNumberFormat="1" applyFont="1" applyAlignment="1">
      <alignment horizontal="center" vertical="center"/>
    </xf>
    <xf fontId="47" fillId="58" borderId="29" numFmtId="49" xfId="0" applyNumberFormat="1" applyFont="1" applyFill="1" applyBorder="1" applyAlignment="1">
      <alignment horizontal="center" vertical="center"/>
    </xf>
    <xf fontId="27" fillId="58" borderId="45" numFmtId="0" xfId="0" applyFont="1" applyFill="1" applyBorder="1" applyAlignment="1">
      <alignment horizontal="left" vertical="center" wrapText="1"/>
    </xf>
    <xf fontId="47" fillId="58" borderId="29" numFmtId="0" xfId="82" applyFont="1" applyFill="1" applyBorder="1" applyAlignment="1">
      <alignment horizontal="center" vertical="center"/>
    </xf>
    <xf fontId="47" fillId="58" borderId="23" numFmtId="169" xfId="82" applyNumberFormat="1" applyFont="1" applyFill="1" applyBorder="1" applyAlignment="1">
      <alignment horizontal="center" vertical="center"/>
    </xf>
    <xf fontId="47" fillId="58" borderId="29" numFmtId="169" xfId="82" applyNumberFormat="1" applyFont="1" applyFill="1" applyBorder="1" applyAlignment="1">
      <alignment horizontal="center" vertical="center"/>
    </xf>
    <xf fontId="47" fillId="58" borderId="46" numFmtId="169" xfId="82" applyNumberFormat="1" applyFont="1" applyFill="1" applyBorder="1" applyAlignment="1">
      <alignment horizontal="center" vertical="center"/>
    </xf>
    <xf fontId="47" fillId="58" borderId="47" numFmtId="167" xfId="82" applyNumberFormat="1" applyFont="1" applyFill="1" applyBorder="1" applyAlignment="1">
      <alignment horizontal="center" vertical="center"/>
    </xf>
    <xf fontId="0" fillId="0" borderId="0" numFmtId="0" xfId="0"/>
    <xf fontId="47" fillId="0" borderId="48" numFmtId="49" xfId="0" applyNumberFormat="1" applyFont="1" applyBorder="1" applyAlignment="1">
      <alignment horizontal="center" vertical="center"/>
    </xf>
    <xf fontId="27" fillId="0" borderId="49" numFmtId="0" xfId="82" applyFont="1" applyBorder="1" applyAlignment="1">
      <alignment horizontal="left" vertical="center"/>
    </xf>
    <xf fontId="47" fillId="0" borderId="48" numFmtId="0" xfId="82" applyFont="1" applyBorder="1" applyAlignment="1">
      <alignment horizontal="center" vertical="center"/>
    </xf>
    <xf fontId="47" fillId="0" borderId="24" numFmtId="168" xfId="82" applyNumberFormat="1" applyFont="1" applyBorder="1" applyAlignment="1">
      <alignment horizontal="center" vertical="center"/>
    </xf>
    <xf fontId="47" fillId="0" borderId="48" numFmtId="175" xfId="82" applyNumberFormat="1" applyFont="1" applyBorder="1" applyAlignment="1">
      <alignment horizontal="center" vertical="center"/>
    </xf>
    <xf fontId="47" fillId="0" borderId="50" numFmtId="175" xfId="82" applyNumberFormat="1" applyFont="1" applyBorder="1" applyAlignment="1">
      <alignment horizontal="center" vertical="center"/>
    </xf>
    <xf fontId="47" fillId="0" borderId="51" numFmtId="167" xfId="82" applyNumberFormat="1" applyFont="1" applyBorder="1" applyAlignment="1">
      <alignment horizontal="center" vertical="center"/>
    </xf>
    <xf fontId="27" fillId="0" borderId="49" numFmtId="0" xfId="82" applyFont="1" applyBorder="1" applyAlignment="1">
      <alignment horizontal="left" vertical="center" wrapText="1"/>
    </xf>
    <xf fontId="47" fillId="0" borderId="24" numFmtId="169" xfId="82" applyNumberFormat="1" applyFont="1" applyBorder="1" applyAlignment="1">
      <alignment horizontal="center" vertical="center"/>
    </xf>
    <xf fontId="47" fillId="0" borderId="52" numFmtId="49" xfId="0" applyNumberFormat="1" applyFont="1" applyBorder="1" applyAlignment="1">
      <alignment horizontal="center" vertical="center"/>
    </xf>
    <xf fontId="27" fillId="0" borderId="53" numFmtId="0" xfId="82" applyFont="1" applyBorder="1" applyAlignment="1">
      <alignment horizontal="left" vertical="center"/>
    </xf>
    <xf fontId="47" fillId="0" borderId="52" numFmtId="0" xfId="82" applyFont="1" applyBorder="1" applyAlignment="1">
      <alignment horizontal="center" vertical="center"/>
    </xf>
    <xf fontId="47" fillId="0" borderId="26" numFmtId="168" xfId="82" applyNumberFormat="1" applyFont="1" applyBorder="1" applyAlignment="1">
      <alignment horizontal="center" vertical="center"/>
    </xf>
    <xf fontId="47" fillId="0" borderId="52" numFmtId="175" xfId="82" applyNumberFormat="1" applyFont="1" applyBorder="1" applyAlignment="1">
      <alignment horizontal="center" vertical="center"/>
    </xf>
    <xf fontId="47" fillId="0" borderId="54" numFmtId="175" xfId="82" applyNumberFormat="1" applyFont="1" applyBorder="1" applyAlignment="1">
      <alignment horizontal="center" vertical="center"/>
    </xf>
    <xf fontId="47" fillId="0" borderId="55" numFmtId="167" xfId="82" applyNumberFormat="1" applyFont="1" applyBorder="1" applyAlignment="1">
      <alignment horizontal="center" vertical="center"/>
    </xf>
    <xf fontId="47" fillId="58" borderId="20" numFmtId="169" xfId="82" applyNumberFormat="1" applyFont="1" applyFill="1" applyBorder="1" applyAlignment="1">
      <alignment horizontal="center" vertical="center"/>
    </xf>
    <xf fontId="47" fillId="58" borderId="29" numFmtId="175" xfId="82" applyNumberFormat="1" applyFont="1" applyFill="1" applyBorder="1" applyAlignment="1">
      <alignment horizontal="center" vertical="center"/>
    </xf>
    <xf fontId="47" fillId="58" borderId="46" numFmtId="175" xfId="82" applyNumberFormat="1" applyFont="1" applyFill="1" applyBorder="1" applyAlignment="1">
      <alignment horizontal="center" vertical="center"/>
    </xf>
    <xf fontId="47" fillId="58" borderId="34" numFmtId="167" xfId="82" applyNumberFormat="1" applyFont="1" applyFill="1" applyBorder="1" applyAlignment="1">
      <alignment horizontal="center" vertical="center"/>
    </xf>
    <xf fontId="0" fillId="0" borderId="0" numFmtId="169" xfId="0" applyNumberFormat="1"/>
    <xf fontId="47" fillId="58" borderId="24" numFmtId="169" xfId="82" applyNumberFormat="1" applyFont="1" applyFill="1" applyBorder="1" applyAlignment="1">
      <alignment horizontal="center" vertical="center"/>
    </xf>
    <xf fontId="47" fillId="58" borderId="48" numFmtId="49" xfId="0" applyNumberFormat="1" applyFont="1" applyFill="1" applyBorder="1" applyAlignment="1">
      <alignment horizontal="center" vertical="center"/>
    </xf>
    <xf fontId="27" fillId="58" borderId="49" numFmtId="0" xfId="82" applyFont="1" applyFill="1" applyBorder="1" applyAlignment="1">
      <alignment horizontal="left" vertical="center"/>
    </xf>
    <xf fontId="47" fillId="58" borderId="48" numFmtId="0" xfId="82" applyFont="1" applyFill="1" applyBorder="1" applyAlignment="1">
      <alignment horizontal="center" vertical="center"/>
    </xf>
    <xf fontId="47" fillId="58" borderId="48" numFmtId="175" xfId="82" applyNumberFormat="1" applyFont="1" applyFill="1" applyBorder="1" applyAlignment="1">
      <alignment horizontal="center" vertical="center"/>
    </xf>
    <xf fontId="47" fillId="58" borderId="50" numFmtId="175" xfId="82" applyNumberFormat="1" applyFont="1" applyFill="1" applyBorder="1" applyAlignment="1">
      <alignment horizontal="center" vertical="center"/>
    </xf>
    <xf fontId="47" fillId="58" borderId="51" numFmtId="167" xfId="82" applyNumberFormat="1" applyFont="1" applyFill="1" applyBorder="1" applyAlignment="1">
      <alignment horizontal="center" vertical="center"/>
    </xf>
    <xf fontId="27" fillId="58" borderId="49" numFmtId="0" xfId="82" applyFont="1" applyFill="1" applyBorder="1" applyAlignment="1">
      <alignment horizontal="left" vertical="center" wrapText="1"/>
    </xf>
    <xf fontId="27" fillId="0" borderId="49" numFmtId="0" xfId="0" applyFont="1" applyBorder="1" applyAlignment="1">
      <alignment horizontal="left" vertical="center" wrapText="1"/>
    </xf>
    <xf fontId="47" fillId="0" borderId="35" numFmtId="49" xfId="0" applyNumberFormat="1" applyFont="1" applyBorder="1" applyAlignment="1">
      <alignment horizontal="center" vertical="center"/>
    </xf>
    <xf fontId="27" fillId="0" borderId="56" numFmtId="0" xfId="82" applyFont="1" applyBorder="1" applyAlignment="1">
      <alignment horizontal="left" vertical="center"/>
    </xf>
    <xf fontId="47" fillId="0" borderId="35" numFmtId="0" xfId="82" applyFont="1" applyBorder="1" applyAlignment="1">
      <alignment horizontal="center" vertical="center"/>
    </xf>
    <xf fontId="47" fillId="0" borderId="25" numFmtId="169" xfId="82" applyNumberFormat="1" applyFont="1" applyBorder="1" applyAlignment="1">
      <alignment horizontal="center" vertical="center"/>
    </xf>
    <xf fontId="47" fillId="0" borderId="35" numFmtId="175" xfId="82" applyNumberFormat="1" applyFont="1" applyBorder="1" applyAlignment="1">
      <alignment horizontal="center" vertical="center"/>
    </xf>
    <xf fontId="47" fillId="0" borderId="57" numFmtId="175" xfId="82" applyNumberFormat="1" applyFont="1" applyBorder="1" applyAlignment="1">
      <alignment horizontal="center" vertical="center"/>
    </xf>
    <xf fontId="47" fillId="0" borderId="58" numFmtId="167" xfId="82" applyNumberFormat="1" applyFont="1" applyBorder="1" applyAlignment="1">
      <alignment horizontal="center" vertical="center"/>
    </xf>
    <xf fontId="47" fillId="0" borderId="38" numFmtId="49" xfId="0" applyNumberFormat="1" applyFont="1" applyBorder="1" applyAlignment="1">
      <alignment horizontal="center" vertical="center"/>
    </xf>
    <xf fontId="27" fillId="0" borderId="39" numFmtId="0" xfId="0" applyFont="1" applyBorder="1" applyAlignment="1">
      <alignment horizontal="left" vertical="center" wrapText="1"/>
    </xf>
    <xf fontId="47" fillId="0" borderId="38" numFmtId="0" xfId="82" applyFont="1" applyBorder="1" applyAlignment="1">
      <alignment horizontal="center" vertical="center"/>
    </xf>
    <xf fontId="47" fillId="0" borderId="39" numFmtId="169" xfId="82" applyNumberFormat="1" applyFont="1" applyBorder="1" applyAlignment="1">
      <alignment horizontal="center" vertical="center"/>
    </xf>
    <xf fontId="47" fillId="0" borderId="38" numFmtId="175" xfId="82" applyNumberFormat="1" applyFont="1" applyBorder="1" applyAlignment="1">
      <alignment horizontal="center" vertical="center"/>
    </xf>
    <xf fontId="47" fillId="0" borderId="59" numFmtId="175" xfId="82" applyNumberFormat="1" applyFont="1" applyBorder="1" applyAlignment="1">
      <alignment horizontal="center" vertical="center"/>
    </xf>
    <xf fontId="47" fillId="0" borderId="43" numFmtId="167" xfId="82" applyNumberFormat="1" applyFont="1" applyBorder="1" applyAlignment="1">
      <alignment horizontal="center" vertical="center"/>
    </xf>
    <xf fontId="27" fillId="0" borderId="0" numFmtId="0" xfId="82" applyFont="1" applyAlignment="1">
      <alignment vertical="center"/>
    </xf>
    <xf fontId="47" fillId="0" borderId="22" numFmtId="169" xfId="82" applyNumberFormat="1" applyFont="1" applyBorder="1" applyAlignment="1">
      <alignment horizontal="center" vertical="center"/>
    </xf>
    <xf fontId="47" fillId="0" borderId="41" numFmtId="175" xfId="82" applyNumberFormat="1" applyFont="1" applyBorder="1" applyAlignment="1">
      <alignment horizontal="center" vertical="center"/>
    </xf>
    <xf fontId="47" fillId="58" borderId="31" numFmtId="175" xfId="82" applyNumberFormat="1" applyFont="1" applyFill="1" applyBorder="1" applyAlignment="1">
      <alignment horizontal="center" vertical="center"/>
    </xf>
    <xf fontId="47" fillId="0" borderId="60" numFmtId="175" xfId="82" applyNumberFormat="1" applyFont="1" applyBorder="1" applyAlignment="1">
      <alignment horizontal="center" vertical="center"/>
    </xf>
    <xf fontId="47" fillId="0" borderId="61" numFmtId="175" xfId="82" applyNumberFormat="1" applyFont="1" applyBorder="1" applyAlignment="1">
      <alignment horizontal="center" vertical="center"/>
    </xf>
    <xf fontId="47" fillId="58" borderId="62" numFmtId="49" xfId="0" applyNumberFormat="1" applyFont="1" applyFill="1" applyBorder="1" applyAlignment="1">
      <alignment horizontal="center" vertical="center"/>
    </xf>
    <xf fontId="27" fillId="58" borderId="63" numFmtId="0" xfId="0" applyFont="1" applyFill="1" applyBorder="1" applyAlignment="1">
      <alignment horizontal="left" vertical="center" wrapText="1"/>
    </xf>
    <xf fontId="47" fillId="58" borderId="62" numFmtId="0" xfId="82" applyFont="1" applyFill="1" applyBorder="1" applyAlignment="1">
      <alignment horizontal="center" vertical="center"/>
    </xf>
    <xf fontId="47" fillId="0" borderId="26" numFmtId="169" xfId="82" applyNumberFormat="1" applyFont="1" applyBorder="1" applyAlignment="1">
      <alignment horizontal="center" vertical="center"/>
    </xf>
    <xf fontId="84" fillId="58" borderId="29" numFmtId="169" xfId="0" applyNumberFormat="1" applyFont="1" applyFill="1" applyBorder="1" applyAlignment="1">
      <alignment horizontal="center" vertical="center"/>
    </xf>
    <xf fontId="84" fillId="58" borderId="46" numFmtId="169" xfId="0" applyNumberFormat="1" applyFont="1" applyFill="1" applyBorder="1" applyAlignment="1">
      <alignment horizontal="center" vertical="center"/>
    </xf>
    <xf fontId="84" fillId="0" borderId="48" numFmtId="169" xfId="0" applyNumberFormat="1" applyFont="1" applyBorder="1" applyAlignment="1">
      <alignment horizontal="center" vertical="center"/>
    </xf>
    <xf fontId="84" fillId="0" borderId="50" numFmtId="169" xfId="0" applyNumberFormat="1" applyFont="1" applyBorder="1" applyAlignment="1">
      <alignment horizontal="center" vertical="center"/>
    </xf>
    <xf fontId="47" fillId="0" borderId="48" numFmtId="167" xfId="82" applyNumberFormat="1" applyFont="1" applyBorder="1" applyAlignment="1">
      <alignment horizontal="center" vertical="center"/>
    </xf>
    <xf fontId="47" fillId="0" borderId="50" numFmtId="167" xfId="82" applyNumberFormat="1" applyFont="1" applyBorder="1" applyAlignment="1">
      <alignment horizontal="center" vertical="center"/>
    </xf>
    <xf fontId="47" fillId="0" borderId="52" numFmtId="167" xfId="82" applyNumberFormat="1" applyFont="1" applyBorder="1" applyAlignment="1">
      <alignment horizontal="center" vertical="center"/>
    </xf>
    <xf fontId="47" fillId="0" borderId="54" numFmtId="167" xfId="82" applyNumberFormat="1" applyFont="1" applyBorder="1" applyAlignment="1">
      <alignment horizontal="center" vertical="center"/>
    </xf>
    <xf fontId="47" fillId="58" borderId="29" numFmtId="167" xfId="82" applyNumberFormat="1" applyFont="1" applyFill="1" applyBorder="1" applyAlignment="1">
      <alignment horizontal="center" vertical="center"/>
    </xf>
    <xf fontId="47" fillId="58" borderId="46" numFmtId="167" xfId="82" applyNumberFormat="1" applyFont="1" applyFill="1" applyBorder="1" applyAlignment="1">
      <alignment horizontal="center" vertical="center"/>
    </xf>
    <xf fontId="47" fillId="58" borderId="24" numFmtId="168" xfId="82" applyNumberFormat="1" applyFont="1" applyFill="1" applyBorder="1" applyAlignment="1">
      <alignment horizontal="center" vertical="center"/>
    </xf>
    <xf fontId="47" fillId="58" borderId="48" numFmtId="167" xfId="82" applyNumberFormat="1" applyFont="1" applyFill="1" applyBorder="1" applyAlignment="1">
      <alignment horizontal="center" vertical="center"/>
    </xf>
    <xf fontId="47" fillId="58" borderId="50" numFmtId="167" xfId="82" applyNumberFormat="1" applyFont="1" applyFill="1" applyBorder="1" applyAlignment="1">
      <alignment horizontal="center" vertical="center"/>
    </xf>
    <xf fontId="47" fillId="58" borderId="64" numFmtId="167" xfId="82" applyNumberFormat="1" applyFont="1" applyFill="1" applyBorder="1" applyAlignment="1">
      <alignment horizontal="center" vertical="center"/>
    </xf>
    <xf fontId="47" fillId="58" borderId="24" numFmtId="176" xfId="82" applyNumberFormat="1" applyFont="1" applyFill="1" applyBorder="1" applyAlignment="1">
      <alignment horizontal="center" vertical="center"/>
    </xf>
    <xf fontId="47" fillId="58" borderId="52" numFmtId="49" xfId="0" applyNumberFormat="1" applyFont="1" applyFill="1" applyBorder="1" applyAlignment="1">
      <alignment horizontal="center" vertical="center"/>
    </xf>
    <xf fontId="27" fillId="58" borderId="53" numFmtId="0" xfId="82" applyFont="1" applyFill="1" applyBorder="1" applyAlignment="1">
      <alignment horizontal="left" vertical="center"/>
    </xf>
    <xf fontId="47" fillId="58" borderId="52" numFmtId="0" xfId="82" applyFont="1" applyFill="1" applyBorder="1" applyAlignment="1">
      <alignment horizontal="center" vertical="center"/>
    </xf>
    <xf fontId="47" fillId="58" borderId="52" numFmtId="167" xfId="82" applyNumberFormat="1" applyFont="1" applyFill="1" applyBorder="1" applyAlignment="1">
      <alignment horizontal="center" vertical="center"/>
    </xf>
    <xf fontId="47" fillId="58" borderId="54" numFmtId="167" xfId="82" applyNumberFormat="1" applyFont="1" applyFill="1" applyBorder="1" applyAlignment="1">
      <alignment horizontal="center" vertical="center"/>
    </xf>
    <xf fontId="47" fillId="58" borderId="65" numFmtId="167" xfId="82" applyNumberFormat="1" applyFont="1" applyFill="1" applyBorder="1" applyAlignment="1">
      <alignment horizontal="center" vertical="center"/>
    </xf>
    <xf fontId="27" fillId="58" borderId="49" numFmtId="0" xfId="0" applyFont="1" applyFill="1" applyBorder="1" applyAlignment="1">
      <alignment horizontal="left" vertical="center" wrapText="1"/>
    </xf>
    <xf fontId="47" fillId="0" borderId="35" numFmtId="167" xfId="82" applyNumberFormat="1" applyFont="1" applyBorder="1" applyAlignment="1">
      <alignment horizontal="center" vertical="center"/>
    </xf>
    <xf fontId="47" fillId="0" borderId="57" numFmtId="167" xfId="82" applyNumberFormat="1" applyFont="1" applyBorder="1" applyAlignment="1">
      <alignment horizontal="center" vertical="center"/>
    </xf>
    <xf fontId="47" fillId="0" borderId="60" numFmtId="167" xfId="82" applyNumberFormat="1" applyFont="1" applyBorder="1" applyAlignment="1">
      <alignment horizontal="center" vertical="center"/>
    </xf>
    <xf fontId="47" fillId="0" borderId="61" numFmtId="167" xfId="82" applyNumberFormat="1" applyFont="1" applyBorder="1" applyAlignment="1">
      <alignment horizontal="center" vertical="center"/>
    </xf>
    <xf fontId="47" fillId="0" borderId="29" numFmtId="49" xfId="0" applyNumberFormat="1" applyFont="1" applyBorder="1" applyAlignment="1">
      <alignment horizontal="center" vertical="center"/>
    </xf>
    <xf fontId="27" fillId="0" borderId="45" numFmtId="0" xfId="0" applyFont="1" applyBorder="1" applyAlignment="1">
      <alignment horizontal="left" vertical="center" wrapText="1"/>
    </xf>
    <xf fontId="47" fillId="0" borderId="29" numFmtId="0" xfId="82" applyFont="1" applyBorder="1" applyAlignment="1">
      <alignment horizontal="center" vertical="center"/>
    </xf>
    <xf fontId="47" fillId="0" borderId="23" numFmtId="169" xfId="82" applyNumberFormat="1" applyFont="1" applyBorder="1" applyAlignment="1">
      <alignment horizontal="center" vertical="center"/>
    </xf>
    <xf fontId="47" fillId="0" borderId="29" numFmtId="167" xfId="82" applyNumberFormat="1" applyFont="1" applyBorder="1" applyAlignment="1">
      <alignment horizontal="center" vertical="center"/>
    </xf>
    <xf fontId="47" fillId="0" borderId="31" numFmtId="167" xfId="82" applyNumberFormat="1" applyFont="1" applyBorder="1" applyAlignment="1">
      <alignment horizontal="center" vertical="center"/>
    </xf>
    <xf fontId="47" fillId="0" borderId="34" numFmtId="167" xfId="82" applyNumberFormat="1" applyFont="1" applyBorder="1" applyAlignment="1">
      <alignment horizontal="center" vertical="center"/>
    </xf>
    <xf fontId="47" fillId="0" borderId="66" numFmtId="49" xfId="0" applyNumberFormat="1" applyFont="1" applyBorder="1" applyAlignment="1">
      <alignment horizontal="center" vertical="center"/>
    </xf>
    <xf fontId="27" fillId="0" borderId="67" numFmtId="0" xfId="0" applyFont="1" applyBorder="1" applyAlignment="1">
      <alignment horizontal="left" vertical="center" wrapText="1"/>
    </xf>
    <xf fontId="47" fillId="0" borderId="66" numFmtId="0" xfId="82" applyFont="1" applyBorder="1" applyAlignment="1">
      <alignment horizontal="center" vertical="center"/>
    </xf>
    <xf fontId="47" fillId="0" borderId="27" numFmtId="168" xfId="82" applyNumberFormat="1" applyFont="1" applyBorder="1" applyAlignment="1">
      <alignment horizontal="center" vertical="center"/>
    </xf>
    <xf fontId="47" fillId="0" borderId="66" numFmtId="167" xfId="82" applyNumberFormat="1" applyFont="1" applyBorder="1" applyAlignment="1">
      <alignment horizontal="center" vertical="center"/>
    </xf>
    <xf fontId="47" fillId="0" borderId="68" numFmtId="167" xfId="82" applyNumberFormat="1" applyFont="1" applyBorder="1" applyAlignment="1">
      <alignment horizontal="center" vertical="center"/>
    </xf>
    <xf fontId="47" fillId="0" borderId="69" numFmtId="167" xfId="82" applyNumberFormat="1" applyFont="1" applyBorder="1" applyAlignment="1">
      <alignment horizontal="center" vertical="center"/>
    </xf>
    <xf fontId="47" fillId="58" borderId="31" numFmtId="167" xfId="82" applyNumberFormat="1" applyFont="1" applyFill="1" applyBorder="1" applyAlignment="1">
      <alignment horizontal="center" vertical="center"/>
    </xf>
    <xf fontId="47" fillId="58" borderId="33" numFmtId="167" xfId="82" applyNumberFormat="1" applyFont="1" applyFill="1" applyBorder="1" applyAlignment="1">
      <alignment horizontal="center" vertical="center"/>
    </xf>
    <xf fontId="27" fillId="0" borderId="63" numFmtId="0" xfId="82" applyFont="1" applyBorder="1" applyAlignment="1">
      <alignment horizontal="left" vertical="center" wrapText="1"/>
    </xf>
    <xf fontId="47" fillId="0" borderId="62" numFmtId="0" xfId="82" applyFont="1" applyBorder="1" applyAlignment="1">
      <alignment horizontal="center" vertical="center"/>
    </xf>
    <xf fontId="47" fillId="0" borderId="24" numFmtId="177" xfId="82" applyNumberFormat="1" applyFont="1" applyBorder="1" applyAlignment="1">
      <alignment horizontal="center" vertical="center"/>
    </xf>
    <xf fontId="47" fillId="0" borderId="62" numFmtId="49" xfId="0" applyNumberFormat="1" applyFont="1" applyBorder="1" applyAlignment="1">
      <alignment horizontal="center" vertical="center"/>
    </xf>
    <xf fontId="27" fillId="0" borderId="63" numFmtId="0" xfId="0" applyFont="1" applyBorder="1" applyAlignment="1">
      <alignment horizontal="left" vertical="center" wrapText="1"/>
    </xf>
    <xf fontId="47" fillId="0" borderId="20" numFmtId="168" xfId="82" applyNumberFormat="1" applyFont="1" applyBorder="1" applyAlignment="1">
      <alignment horizontal="center" vertical="center"/>
    </xf>
    <xf fontId="27" fillId="0" borderId="53" numFmtId="0" xfId="0" applyFont="1" applyBorder="1" applyAlignment="1">
      <alignment horizontal="left" vertical="center" wrapText="1"/>
    </xf>
    <xf fontId="47" fillId="0" borderId="45" numFmtId="169" xfId="82" applyNumberFormat="1" applyFont="1" applyBorder="1" applyAlignment="1">
      <alignment horizontal="center" vertical="center"/>
    </xf>
    <xf fontId="47" fillId="58" borderId="60" numFmtId="167" xfId="82" applyNumberFormat="1" applyFont="1" applyFill="1" applyBorder="1" applyAlignment="1">
      <alignment horizontal="center" vertical="center"/>
    </xf>
    <xf fontId="47" fillId="0" borderId="67" numFmtId="3" xfId="106" applyNumberFormat="1" applyFont="1" applyBorder="1" applyAlignment="1">
      <alignment horizontal="center" vertical="center"/>
    </xf>
    <xf fontId="85" fillId="0" borderId="22" numFmtId="49" xfId="82" applyNumberFormat="1" applyFont="1" applyBorder="1" applyAlignment="1">
      <alignment horizontal="center" vertical="center"/>
    </xf>
    <xf fontId="85" fillId="0" borderId="39" numFmtId="49" xfId="82" applyNumberFormat="1" applyFont="1" applyBorder="1" applyAlignment="1">
      <alignment horizontal="center" vertical="center"/>
    </xf>
    <xf fontId="85" fillId="0" borderId="70" numFmtId="49" xfId="82" applyNumberFormat="1" applyFont="1" applyBorder="1" applyAlignment="1">
      <alignment horizontal="center" vertical="center"/>
    </xf>
    <xf fontId="47" fillId="58" borderId="23" numFmtId="167" xfId="82" applyNumberFormat="1" applyFont="1" applyFill="1" applyBorder="1" applyAlignment="1">
      <alignment horizontal="center" vertical="center"/>
    </xf>
    <xf fontId="84" fillId="58" borderId="29" numFmtId="167" xfId="0" applyNumberFormat="1" applyFont="1" applyFill="1" applyBorder="1" applyAlignment="1">
      <alignment horizontal="center" vertical="center"/>
    </xf>
    <xf fontId="84" fillId="58" borderId="31" numFmtId="167" xfId="0" applyNumberFormat="1" applyFont="1" applyFill="1" applyBorder="1" applyAlignment="1">
      <alignment horizontal="center" vertical="center"/>
    </xf>
    <xf fontId="84" fillId="58" borderId="34" numFmtId="167" xfId="0" applyNumberFormat="1" applyFont="1" applyFill="1" applyBorder="1" applyAlignment="1">
      <alignment horizontal="center" vertical="center"/>
    </xf>
    <xf fontId="84" fillId="0" borderId="71" numFmtId="167" xfId="0" applyNumberFormat="1" applyFont="1" applyBorder="1" applyAlignment="1">
      <alignment horizontal="center" vertical="center"/>
    </xf>
    <xf fontId="84" fillId="0" borderId="72" numFmtId="167" xfId="0" applyNumberFormat="1" applyFont="1" applyBorder="1" applyAlignment="1">
      <alignment horizontal="center" vertical="center"/>
    </xf>
    <xf fontId="47" fillId="0" borderId="24" numFmtId="167" xfId="82" applyNumberFormat="1" applyFont="1" applyBorder="1" applyAlignment="1">
      <alignment horizontal="center" vertical="center"/>
    </xf>
    <xf fontId="84" fillId="0" borderId="48" numFmtId="167" xfId="0" applyNumberFormat="1" applyFont="1" applyBorder="1" applyAlignment="1">
      <alignment horizontal="center" vertical="center"/>
    </xf>
    <xf fontId="84" fillId="0" borderId="52" numFmtId="167" xfId="0" applyNumberFormat="1" applyFont="1" applyBorder="1" applyAlignment="1">
      <alignment horizontal="center" vertical="center"/>
    </xf>
    <xf fontId="84" fillId="0" borderId="68" numFmtId="167" xfId="0" applyNumberFormat="1" applyFont="1" applyBorder="1" applyAlignment="1">
      <alignment horizontal="center" vertical="center"/>
    </xf>
    <xf fontId="84" fillId="0" borderId="69" numFmtId="167" xfId="0" applyNumberFormat="1" applyFont="1" applyBorder="1" applyAlignment="1">
      <alignment horizontal="center" vertical="center"/>
    </xf>
    <xf fontId="47" fillId="58" borderId="24" numFmtId="167" xfId="82" applyNumberFormat="1" applyFont="1" applyFill="1" applyBorder="1" applyAlignment="1">
      <alignment horizontal="center" vertical="center"/>
    </xf>
    <xf fontId="84" fillId="58" borderId="71" numFmtId="167" xfId="0" applyNumberFormat="1" applyFont="1" applyFill="1" applyBorder="1" applyAlignment="1">
      <alignment horizontal="center" vertical="center"/>
    </xf>
    <xf fontId="84" fillId="58" borderId="72" numFmtId="167" xfId="0" applyNumberFormat="1" applyFont="1" applyFill="1" applyBorder="1" applyAlignment="1">
      <alignment horizontal="center" vertical="center"/>
    </xf>
    <xf fontId="86" fillId="0" borderId="71" numFmtId="167" xfId="0" applyNumberFormat="1" applyFont="1" applyBorder="1" applyAlignment="1">
      <alignment horizontal="center" vertical="center"/>
    </xf>
    <xf fontId="84" fillId="0" borderId="24" numFmtId="167" xfId="0" applyNumberFormat="1" applyFont="1" applyBorder="1" applyAlignment="1">
      <alignment horizontal="center" vertical="center"/>
    </xf>
    <xf fontId="84" fillId="0" borderId="26" numFmtId="167" xfId="0" applyNumberFormat="1" applyFont="1" applyBorder="1" applyAlignment="1">
      <alignment horizontal="center" vertical="center"/>
    </xf>
    <xf fontId="86" fillId="0" borderId="68" numFmtId="167" xfId="0" applyNumberFormat="1" applyFont="1" applyBorder="1" applyAlignment="1">
      <alignment horizontal="center" vertical="center"/>
    </xf>
    <xf fontId="47" fillId="0" borderId="23" numFmtId="168" xfId="82" applyNumberFormat="1" applyFont="1" applyBorder="1" applyAlignment="1">
      <alignment horizontal="center" vertical="center"/>
    </xf>
    <xf fontId="84" fillId="0" borderId="29" numFmtId="167" xfId="0" applyNumberFormat="1" applyFont="1" applyBorder="1" applyAlignment="1">
      <alignment horizontal="center" vertical="center"/>
    </xf>
    <xf fontId="84" fillId="0" borderId="31" numFmtId="167" xfId="0" applyNumberFormat="1" applyFont="1" applyBorder="1" applyAlignment="1">
      <alignment horizontal="center" vertical="center"/>
    </xf>
    <xf fontId="84" fillId="0" borderId="34" numFmtId="167" xfId="0" applyNumberFormat="1" applyFont="1" applyBorder="1" applyAlignment="1">
      <alignment horizontal="center" vertical="center"/>
    </xf>
    <xf fontId="47" fillId="0" borderId="23" numFmtId="167" xfId="82" applyNumberFormat="1" applyFont="1" applyBorder="1" applyAlignment="1">
      <alignment horizontal="center" vertical="center"/>
    </xf>
    <xf fontId="47" fillId="58" borderId="23" numFmtId="168" xfId="82" applyNumberFormat="1" applyFont="1" applyFill="1" applyBorder="1" applyAlignment="1">
      <alignment horizontal="center" vertical="center"/>
    </xf>
    <xf fontId="84" fillId="58" borderId="48" numFmtId="167" xfId="0" applyNumberFormat="1" applyFont="1" applyFill="1" applyBorder="1" applyAlignment="1">
      <alignment horizontal="center" vertical="center"/>
    </xf>
    <xf fontId="47" fillId="58" borderId="38" numFmtId="49" xfId="0" applyNumberFormat="1" applyFont="1" applyFill="1" applyBorder="1" applyAlignment="1">
      <alignment horizontal="center" vertical="center"/>
    </xf>
    <xf fontId="27" fillId="58" borderId="39" numFmtId="0" xfId="0" applyFont="1" applyFill="1" applyBorder="1" applyAlignment="1">
      <alignment horizontal="left" vertical="center" wrapText="1"/>
    </xf>
    <xf fontId="47" fillId="58" borderId="38" numFmtId="0" xfId="82" applyFont="1" applyFill="1" applyBorder="1" applyAlignment="1">
      <alignment horizontal="center" vertical="center"/>
    </xf>
    <xf fontId="47" fillId="58" borderId="22" numFmtId="167" xfId="82" applyNumberFormat="1" applyFont="1" applyFill="1" applyBorder="1" applyAlignment="1">
      <alignment horizontal="center" vertical="center"/>
    </xf>
    <xf fontId="84" fillId="58" borderId="38" numFmtId="167" xfId="0" applyNumberFormat="1" applyFont="1" applyFill="1" applyBorder="1" applyAlignment="1">
      <alignment horizontal="center" vertical="center"/>
    </xf>
    <xf fontId="84" fillId="58" borderId="41" numFmtId="167" xfId="0" applyNumberFormat="1" applyFont="1" applyFill="1" applyBorder="1" applyAlignment="1">
      <alignment horizontal="center" vertical="center"/>
    </xf>
    <xf fontId="84" fillId="58" borderId="43" numFmtId="167" xfId="0" applyNumberFormat="1" applyFont="1" applyFill="1" applyBorder="1" applyAlignment="1">
      <alignment horizontal="center" vertical="center"/>
    </xf>
    <xf fontId="27" fillId="58" borderId="53" numFmtId="0" xfId="0" applyFont="1" applyFill="1" applyBorder="1" applyAlignment="1">
      <alignment horizontal="left" vertical="center" wrapText="1"/>
    </xf>
    <xf fontId="47" fillId="58" borderId="26" numFmtId="168" xfId="82" applyNumberFormat="1" applyFont="1" applyFill="1" applyBorder="1" applyAlignment="1">
      <alignment horizontal="center" vertical="center"/>
    </xf>
    <xf fontId="84" fillId="58" borderId="68" numFmtId="167" xfId="0" applyNumberFormat="1" applyFont="1" applyFill="1" applyBorder="1" applyAlignment="1">
      <alignment horizontal="center" vertical="center"/>
    </xf>
    <xf fontId="84" fillId="58" borderId="69" numFmtId="167" xfId="0" applyNumberFormat="1" applyFont="1" applyFill="1" applyBorder="1" applyAlignment="1">
      <alignment horizontal="center" vertical="center"/>
    </xf>
    <xf fontId="47" fillId="0" borderId="22" numFmtId="168" xfId="82" applyNumberFormat="1" applyFont="1" applyBorder="1" applyAlignment="1">
      <alignment horizontal="center" vertical="center"/>
    </xf>
    <xf fontId="47" fillId="0" borderId="38" numFmtId="167" xfId="82" applyNumberFormat="1" applyFont="1" applyBorder="1" applyAlignment="1">
      <alignment horizontal="center" vertical="center"/>
    </xf>
    <xf fontId="84" fillId="0" borderId="41" numFmtId="167" xfId="0" applyNumberFormat="1" applyFont="1" applyBorder="1" applyAlignment="1">
      <alignment horizontal="center" vertical="center"/>
    </xf>
    <xf fontId="84" fillId="0" borderId="43" numFmtId="167" xfId="0" applyNumberFormat="1" applyFont="1" applyBorder="1" applyAlignment="1">
      <alignment horizontal="center" vertical="center"/>
    </xf>
    <xf fontId="85" fillId="0" borderId="27" numFmtId="49" xfId="82" applyNumberFormat="1" applyFont="1" applyBorder="1" applyAlignment="1">
      <alignment horizontal="center" vertical="center"/>
    </xf>
    <xf fontId="85" fillId="0" borderId="67" numFmtId="49" xfId="82" applyNumberFormat="1" applyFont="1" applyBorder="1" applyAlignment="1">
      <alignment horizontal="center" vertical="center"/>
    </xf>
    <xf fontId="85" fillId="0" borderId="73" numFmtId="49" xfId="82" applyNumberFormat="1" applyFont="1" applyBorder="1" applyAlignment="1">
      <alignment horizontal="center" vertical="center"/>
    </xf>
    <xf fontId="57" fillId="0" borderId="33" numFmtId="0" xfId="0" applyFont="1" applyBorder="1" applyAlignment="1">
      <alignment horizontal="center" vertical="center"/>
    </xf>
    <xf fontId="57" fillId="0" borderId="34" numFmtId="0" xfId="0" applyFont="1" applyBorder="1" applyAlignment="1">
      <alignment horizontal="center" vertical="center"/>
    </xf>
    <xf fontId="57" fillId="0" borderId="31" numFmtId="0" xfId="0" applyFont="1" applyBorder="1" applyAlignment="1">
      <alignment horizontal="center" vertical="center"/>
    </xf>
    <xf fontId="57" fillId="0" borderId="21" numFmtId="0" xfId="0" applyFont="1" applyBorder="1" applyAlignment="1">
      <alignment horizontal="center" vertical="center"/>
    </xf>
    <xf fontId="0" fillId="0" borderId="0" numFmtId="0" xfId="0" applyAlignment="1">
      <alignment horizontal="center" vertical="center"/>
    </xf>
    <xf fontId="47" fillId="0" borderId="49" numFmtId="168" xfId="82" applyNumberFormat="1" applyFont="1" applyBorder="1" applyAlignment="1">
      <alignment horizontal="center" vertical="center"/>
    </xf>
    <xf fontId="57" fillId="0" borderId="51" numFmtId="167" xfId="0" applyNumberFormat="1" applyFont="1" applyBorder="1" applyAlignment="1">
      <alignment horizontal="center" vertical="center"/>
    </xf>
    <xf fontId="57" fillId="0" borderId="60" numFmtId="167" xfId="0" applyNumberFormat="1" applyFont="1" applyBorder="1" applyAlignment="1">
      <alignment horizontal="center" vertical="center"/>
    </xf>
    <xf fontId="57" fillId="0" borderId="21" numFmtId="167" xfId="0" applyNumberFormat="1" applyFont="1" applyBorder="1" applyAlignment="1">
      <alignment horizontal="center" vertical="center"/>
    </xf>
    <xf fontId="47" fillId="0" borderId="49" numFmtId="0" xfId="82" applyFont="1" applyBorder="1" applyAlignment="1">
      <alignment horizontal="center" vertical="center"/>
    </xf>
    <xf fontId="47" fillId="0" borderId="56" numFmtId="168" xfId="82" applyNumberFormat="1" applyFont="1" applyBorder="1" applyAlignment="1">
      <alignment horizontal="center" vertical="center"/>
    </xf>
    <xf fontId="57" fillId="0" borderId="50" numFmtId="0" xfId="0" applyFont="1" applyBorder="1" applyAlignment="1">
      <alignment horizontal="center" vertical="center"/>
    </xf>
    <xf fontId="27" fillId="0" borderId="53" numFmtId="0" xfId="82" applyFont="1" applyBorder="1" applyAlignment="1">
      <alignment horizontal="left" vertical="center" wrapText="1"/>
    </xf>
    <xf fontId="47" fillId="0" borderId="53" numFmtId="168" xfId="82" applyNumberFormat="1" applyFont="1" applyBorder="1" applyAlignment="1">
      <alignment horizontal="center" vertical="center"/>
    </xf>
    <xf fontId="57" fillId="0" borderId="55" numFmtId="167" xfId="0" applyNumberFormat="1" applyFont="1" applyBorder="1" applyAlignment="1">
      <alignment horizontal="center" vertical="center"/>
    </xf>
    <xf fontId="57" fillId="0" borderId="61" numFmtId="167" xfId="0" applyNumberFormat="1" applyFont="1" applyBorder="1" applyAlignment="1">
      <alignment horizontal="center" vertical="center"/>
    </xf>
    <xf fontId="57" fillId="0" borderId="37" numFmtId="167" xfId="0" applyNumberFormat="1" applyFont="1" applyBorder="1" applyAlignment="1">
      <alignment horizontal="center" vertical="center"/>
    </xf>
    <xf fontId="47" fillId="0" borderId="23" numFmtId="0" xfId="82" applyFont="1" applyBorder="1" applyAlignment="1">
      <alignment horizontal="center" vertical="center"/>
    </xf>
    <xf fontId="57" fillId="0" borderId="29" numFmtId="0" xfId="0" applyFont="1" applyBorder="1" applyAlignment="1">
      <alignment horizontal="center" vertical="center"/>
    </xf>
    <xf fontId="57" fillId="0" borderId="48" numFmtId="167" xfId="0" applyNumberFormat="1" applyFont="1" applyBorder="1" applyAlignment="1">
      <alignment horizontal="center" vertical="center"/>
    </xf>
    <xf fontId="47" fillId="0" borderId="51" numFmtId="175" xfId="82" applyNumberFormat="1" applyFont="1" applyBorder="1" applyAlignment="1">
      <alignment horizontal="center" vertical="center"/>
    </xf>
    <xf fontId="47" fillId="0" borderId="24" numFmtId="4" xfId="82" applyNumberFormat="1" applyFont="1" applyBorder="1" applyAlignment="1">
      <alignment horizontal="center" vertical="center"/>
    </xf>
    <xf fontId="47" fillId="0" borderId="24" numFmtId="3" xfId="82" applyNumberFormat="1" applyFont="1" applyBorder="1" applyAlignment="1">
      <alignment horizontal="center" vertical="center"/>
    </xf>
    <xf fontId="47" fillId="58" borderId="26" numFmtId="169" xfId="82" applyNumberFormat="1" applyFont="1" applyFill="1" applyBorder="1" applyAlignment="1">
      <alignment horizontal="center" vertical="center"/>
    </xf>
    <xf fontId="57" fillId="58" borderId="52" numFmtId="167" xfId="0" applyNumberFormat="1" applyFont="1" applyFill="1" applyBorder="1" applyAlignment="1">
      <alignment horizontal="center" vertical="center"/>
    </xf>
    <xf fontId="57" fillId="58" borderId="61" numFmtId="169" xfId="0" applyNumberFormat="1" applyFont="1" applyFill="1" applyBorder="1" applyAlignment="1">
      <alignment horizontal="center" vertical="center"/>
    </xf>
    <xf fontId="57" fillId="58" borderId="55" numFmtId="169" xfId="0" applyNumberFormat="1" applyFont="1" applyFill="1" applyBorder="1" applyAlignment="1">
      <alignment horizontal="center" vertical="center"/>
    </xf>
    <xf fontId="57" fillId="0" borderId="32" numFmtId="0" xfId="0" applyFont="1" applyBorder="1" applyAlignment="1">
      <alignment horizontal="center" vertical="center"/>
    </xf>
    <xf fontId="57" fillId="0" borderId="48" numFmtId="175" xfId="0" applyNumberFormat="1" applyFont="1" applyBorder="1" applyAlignment="1">
      <alignment horizontal="center" vertical="center"/>
    </xf>
    <xf fontId="57" fillId="0" borderId="60" numFmtId="175" xfId="0" applyNumberFormat="1" applyFont="1" applyBorder="1" applyAlignment="1">
      <alignment horizontal="center" vertical="center"/>
    </xf>
    <xf fontId="57" fillId="0" borderId="51" numFmtId="175" xfId="0" applyNumberFormat="1" applyFont="1" applyBorder="1" applyAlignment="1">
      <alignment horizontal="center" vertical="center"/>
    </xf>
    <xf fontId="57" fillId="0" borderId="52" numFmtId="175" xfId="0" applyNumberFormat="1" applyFont="1" applyBorder="1" applyAlignment="1">
      <alignment horizontal="center" vertical="center"/>
    </xf>
    <xf fontId="57" fillId="0" borderId="61" numFmtId="175" xfId="0" applyNumberFormat="1" applyFont="1" applyBorder="1" applyAlignment="1">
      <alignment horizontal="center" vertical="center"/>
    </xf>
    <xf fontId="57" fillId="0" borderId="55" numFmtId="175" xfId="0" applyNumberFormat="1" applyFont="1" applyBorder="1" applyAlignment="1">
      <alignment horizontal="center" vertical="center"/>
    </xf>
    <xf fontId="57" fillId="0" borderId="23" numFmtId="0" xfId="0" applyFont="1" applyBorder="1" applyAlignment="1">
      <alignment horizontal="center" vertical="center"/>
    </xf>
    <xf fontId="57" fillId="0" borderId="35" numFmtId="167" xfId="0" applyNumberFormat="1" applyFont="1" applyBorder="1" applyAlignment="1">
      <alignment horizontal="center" vertical="center"/>
    </xf>
    <xf fontId="57" fillId="0" borderId="52" numFmtId="167" xfId="0" applyNumberFormat="1" applyFont="1" applyBorder="1" applyAlignment="1">
      <alignment horizontal="center" vertical="center"/>
    </xf>
    <xf fontId="47" fillId="0" borderId="27" numFmtId="0" xfId="82" applyFont="1" applyBorder="1" applyAlignment="1">
      <alignment horizontal="center" vertical="center"/>
    </xf>
    <xf fontId="57" fillId="0" borderId="38" numFmtId="1" xfId="0" applyNumberFormat="1" applyFont="1" applyBorder="1" applyAlignment="1">
      <alignment horizontal="center" vertical="center"/>
    </xf>
    <xf fontId="27" fillId="0" borderId="59" numFmtId="1" xfId="117" applyNumberFormat="1" applyFont="1" applyBorder="1" applyAlignment="1">
      <alignment horizontal="center" vertical="center"/>
    </xf>
    <xf fontId="27" fillId="0" borderId="43" numFmtId="167" xfId="117" applyNumberFormat="1" applyFont="1" applyBorder="1" applyAlignment="1">
      <alignment horizontal="center" vertical="center"/>
    </xf>
    <xf fontId="27" fillId="0" borderId="43" numFmtId="1" xfId="117" applyNumberFormat="1" applyFont="1" applyBorder="1" applyAlignment="1">
      <alignment horizontal="center" vertical="center"/>
    </xf>
    <xf fontId="27" fillId="0" borderId="0" numFmtId="162" xfId="117" applyNumberFormat="1" applyFont="1" applyAlignment="1">
      <alignment horizontal="center" vertical="center"/>
    </xf>
    <xf fontId="79" fillId="0" borderId="28" numFmtId="0" xfId="82" applyFont="1" applyBorder="1" applyAlignment="1">
      <alignment horizontal="center" vertical="center" wrapText="1"/>
    </xf>
    <xf fontId="79" fillId="0" borderId="74" numFmtId="0" xfId="82" applyFont="1" applyBorder="1" applyAlignment="1">
      <alignment horizontal="center" vertical="center" wrapText="1"/>
    </xf>
    <xf fontId="47" fillId="0" borderId="29" numFmtId="49" xfId="82" applyNumberFormat="1" applyFont="1" applyBorder="1" applyAlignment="1">
      <alignment horizontal="center" vertical="center" wrapText="1"/>
    </xf>
    <xf fontId="27" fillId="0" borderId="29" numFmtId="0" xfId="82" applyFont="1" applyBorder="1" applyAlignment="1">
      <alignment horizontal="left" vertical="center" wrapText="1"/>
    </xf>
    <xf fontId="27" fillId="0" borderId="47" numFmtId="0" xfId="82" applyFont="1" applyBorder="1" applyAlignment="1">
      <alignment horizontal="center" vertical="center" wrapText="1"/>
    </xf>
    <xf fontId="44" fillId="55" borderId="45" numFmtId="0" xfId="82" applyFont="1" applyFill="1" applyBorder="1" applyAlignment="1">
      <alignment horizontal="center" vertical="center" wrapText="1"/>
    </xf>
    <xf fontId="44" fillId="55" borderId="23" numFmtId="0" xfId="82" applyFont="1" applyFill="1" applyBorder="1" applyAlignment="1">
      <alignment horizontal="center" vertical="center" wrapText="1"/>
    </xf>
    <xf fontId="44" fillId="55" borderId="47" numFmtId="0" xfId="82" applyFont="1" applyFill="1" applyBorder="1" applyAlignment="1">
      <alignment horizontal="center" vertical="center" wrapText="1"/>
    </xf>
    <xf fontId="47" fillId="0" borderId="52" numFmtId="49" xfId="82" applyNumberFormat="1" applyFont="1" applyBorder="1" applyAlignment="1">
      <alignment horizontal="center" vertical="center" wrapText="1"/>
    </xf>
    <xf fontId="27" fillId="0" borderId="52" numFmtId="0" xfId="82" applyFont="1" applyBorder="1" applyAlignment="1">
      <alignment horizontal="left" vertical="center" wrapText="1"/>
    </xf>
    <xf fontId="27" fillId="0" borderId="75" numFmtId="0" xfId="82" applyFont="1" applyBorder="1" applyAlignment="1">
      <alignment horizontal="center" vertical="center" wrapText="1"/>
    </xf>
    <xf fontId="81" fillId="55" borderId="76" numFmtId="0" xfId="82" applyFont="1" applyFill="1" applyBorder="1" applyAlignment="1">
      <alignment horizontal="center" vertical="center" wrapText="1"/>
    </xf>
    <xf fontId="81" fillId="55" borderId="54" numFmtId="0" xfId="82" applyFont="1" applyFill="1" applyBorder="1" applyAlignment="1">
      <alignment horizontal="center" vertical="center" wrapText="1"/>
    </xf>
    <xf fontId="81" fillId="55" borderId="55" numFmtId="0" xfId="82" applyFont="1" applyFill="1" applyBorder="1" applyAlignment="1">
      <alignment horizontal="center" vertical="center" wrapText="1"/>
    </xf>
    <xf fontId="81" fillId="0" borderId="54" numFmtId="0" xfId="82" applyFont="1" applyBorder="1" applyAlignment="1">
      <alignment horizontal="center" vertical="center" wrapText="1"/>
    </xf>
    <xf fontId="81" fillId="0" borderId="55" numFmtId="0" xfId="82" applyFont="1" applyBorder="1" applyAlignment="1">
      <alignment horizontal="center" vertical="center" wrapText="1"/>
    </xf>
    <xf fontId="81" fillId="55" borderId="36" numFmtId="0" xfId="82" applyFont="1" applyFill="1" applyBorder="1" applyAlignment="1">
      <alignment horizontal="center" vertical="center" wrapText="1"/>
    </xf>
    <xf fontId="87" fillId="0" borderId="59" numFmtId="49" xfId="82" applyNumberFormat="1" applyFont="1" applyBorder="1" applyAlignment="1">
      <alignment horizontal="center" vertical="center"/>
    </xf>
    <xf fontId="87" fillId="0" borderId="42" numFmtId="0" xfId="82" applyFont="1" applyBorder="1" applyAlignment="1">
      <alignment horizontal="left" vertical="center" wrapText="1"/>
    </xf>
    <xf fontId="87" fillId="0" borderId="43" numFmtId="0" xfId="82" applyFont="1" applyBorder="1" applyAlignment="1">
      <alignment horizontal="center" vertical="center" wrapText="1"/>
    </xf>
    <xf fontId="87" fillId="0" borderId="41" numFmtId="0" xfId="82" applyFont="1" applyBorder="1" applyAlignment="1">
      <alignment horizontal="center" vertical="center" wrapText="1"/>
    </xf>
    <xf fontId="87" fillId="0" borderId="41" numFmtId="0" xfId="82" applyFont="1" applyBorder="1" applyAlignment="1">
      <alignment horizontal="center" vertical="center"/>
    </xf>
    <xf fontId="87" fillId="0" borderId="42" numFmtId="0" xfId="82" applyFont="1" applyBorder="1" applyAlignment="1">
      <alignment horizontal="center" vertical="center"/>
    </xf>
    <xf fontId="87" fillId="0" borderId="0" numFmtId="0" xfId="82" applyFont="1" applyAlignment="1">
      <alignment horizontal="center" vertical="center"/>
    </xf>
    <xf fontId="27" fillId="58" borderId="22" numFmtId="0" xfId="82" applyFont="1" applyFill="1" applyBorder="1" applyAlignment="1">
      <alignment horizontal="center" vertical="center" wrapText="1"/>
    </xf>
    <xf fontId="27" fillId="58" borderId="39" numFmtId="0" xfId="82" applyFont="1" applyFill="1" applyBorder="1" applyAlignment="1">
      <alignment horizontal="center" vertical="center" wrapText="1"/>
    </xf>
    <xf fontId="47" fillId="58" borderId="38" numFmtId="175" xfId="117" applyNumberFormat="1" applyFont="1" applyFill="1" applyBorder="1" applyAlignment="1">
      <alignment horizontal="center" vertical="center" wrapText="1"/>
    </xf>
    <xf fontId="47" fillId="58" borderId="41" numFmtId="175" xfId="117" applyNumberFormat="1" applyFont="1" applyFill="1" applyBorder="1" applyAlignment="1">
      <alignment horizontal="center" vertical="center" wrapText="1"/>
    </xf>
    <xf fontId="47" fillId="58" borderId="43" numFmtId="175" xfId="117" applyNumberFormat="1" applyFont="1" applyFill="1" applyBorder="1" applyAlignment="1">
      <alignment horizontal="center" vertical="center" wrapText="1"/>
    </xf>
    <xf fontId="47" fillId="58" borderId="42" numFmtId="167" xfId="82" applyNumberFormat="1" applyFont="1" applyFill="1" applyBorder="1" applyAlignment="1">
      <alignment horizontal="center" vertical="center" wrapText="1"/>
    </xf>
    <xf fontId="27" fillId="0" borderId="0" numFmtId="162" xfId="82" applyNumberFormat="1" applyFont="1" applyAlignment="1">
      <alignment horizontal="left" vertical="center" wrapText="1"/>
    </xf>
    <xf fontId="47" fillId="0" borderId="77" numFmtId="49" xfId="0" applyNumberFormat="1" applyFont="1" applyBorder="1" applyAlignment="1">
      <alignment horizontal="center" vertical="center"/>
    </xf>
    <xf fontId="27" fillId="0" borderId="78" numFmtId="0" xfId="0" applyFont="1" applyBorder="1" applyAlignment="1">
      <alignment horizontal="left" vertical="center"/>
    </xf>
    <xf fontId="47" fillId="0" borderId="77" numFmtId="167" xfId="82" applyNumberFormat="1" applyFont="1" applyBorder="1" applyAlignment="1">
      <alignment horizontal="center" vertical="center"/>
    </xf>
    <xf fontId="47" fillId="0" borderId="79" numFmtId="175" xfId="117" applyNumberFormat="1" applyFont="1" applyBorder="1" applyAlignment="1">
      <alignment horizontal="center" vertical="center"/>
    </xf>
    <xf fontId="47" fillId="0" borderId="71" numFmtId="175" xfId="117" applyNumberFormat="1" applyFont="1" applyBorder="1" applyAlignment="1">
      <alignment horizontal="center" vertical="center" wrapText="1"/>
    </xf>
    <xf fontId="47" fillId="0" borderId="72" numFmtId="175" xfId="117" applyNumberFormat="1" applyFont="1" applyBorder="1" applyAlignment="1">
      <alignment horizontal="center" vertical="center" wrapText="1"/>
    </xf>
    <xf fontId="47" fillId="0" borderId="46" numFmtId="175" xfId="117" applyNumberFormat="1" applyFont="1" applyBorder="1" applyAlignment="1">
      <alignment horizontal="center" vertical="center" wrapText="1"/>
    </xf>
    <xf fontId="47" fillId="0" borderId="34" numFmtId="167" xfId="82" applyNumberFormat="1" applyFont="1" applyBorder="1" applyAlignment="1">
      <alignment horizontal="center" vertical="center" wrapText="1"/>
    </xf>
    <xf fontId="47" fillId="0" borderId="50" numFmtId="49" xfId="0" applyNumberFormat="1" applyFont="1" applyBorder="1" applyAlignment="1">
      <alignment horizontal="center" vertical="center"/>
    </xf>
    <xf fontId="27" fillId="0" borderId="80" numFmtId="0" xfId="0" applyFont="1" applyBorder="1" applyAlignment="1">
      <alignment horizontal="left" vertical="center" wrapText="1"/>
    </xf>
    <xf fontId="47" fillId="0" borderId="50" numFmtId="168" xfId="82" applyNumberFormat="1" applyFont="1" applyBorder="1" applyAlignment="1">
      <alignment horizontal="center" vertical="center"/>
    </xf>
    <xf fontId="47" fillId="0" borderId="64" numFmtId="175" xfId="117" applyNumberFormat="1" applyFont="1" applyBorder="1" applyAlignment="1">
      <alignment horizontal="center" vertical="center"/>
    </xf>
    <xf fontId="47" fillId="0" borderId="60" numFmtId="175" xfId="117" applyNumberFormat="1" applyFont="1" applyBorder="1" applyAlignment="1">
      <alignment horizontal="center" vertical="center" wrapText="1"/>
    </xf>
    <xf fontId="47" fillId="0" borderId="51" numFmtId="175" xfId="117" applyNumberFormat="1" applyFont="1" applyBorder="1" applyAlignment="1">
      <alignment horizontal="center" vertical="center" wrapText="1"/>
    </xf>
    <xf fontId="47" fillId="0" borderId="50" numFmtId="175" xfId="117" applyNumberFormat="1" applyFont="1" applyBorder="1" applyAlignment="1">
      <alignment horizontal="center" vertical="center" wrapText="1"/>
    </xf>
    <xf fontId="47" fillId="0" borderId="51" numFmtId="167" xfId="82" applyNumberFormat="1" applyFont="1" applyBorder="1" applyAlignment="1">
      <alignment horizontal="center" vertical="center" wrapText="1"/>
    </xf>
    <xf fontId="27" fillId="0" borderId="80" numFmtId="0" xfId="82" applyFont="1" applyBorder="1" applyAlignment="1">
      <alignment horizontal="left" vertical="center" wrapText="1"/>
    </xf>
    <xf fontId="47" fillId="0" borderId="51" numFmtId="175" xfId="117" applyNumberFormat="1" applyFont="1" applyBorder="1" applyAlignment="1">
      <alignment horizontal="center" vertical="center"/>
    </xf>
    <xf fontId="47" fillId="0" borderId="60" numFmtId="175" xfId="117" applyNumberFormat="1" applyFont="1" applyBorder="1" applyAlignment="1">
      <alignment horizontal="center" vertical="center"/>
    </xf>
    <xf fontId="47" fillId="0" borderId="50" numFmtId="175" xfId="117" applyNumberFormat="1" applyFont="1" applyBorder="1" applyAlignment="1">
      <alignment horizontal="center" vertical="center"/>
    </xf>
    <xf fontId="27" fillId="0" borderId="80" numFmtId="0" xfId="82" applyFont="1" applyBorder="1" applyAlignment="1">
      <alignment horizontal="left" vertical="center"/>
    </xf>
    <xf fontId="47" fillId="0" borderId="21" numFmtId="167" xfId="82" applyNumberFormat="1" applyFont="1" applyBorder="1" applyAlignment="1">
      <alignment horizontal="center" vertical="center" wrapText="1"/>
    </xf>
    <xf fontId="47" fillId="0" borderId="64" numFmtId="175" xfId="117" applyNumberFormat="1" applyFont="1" applyBorder="1" applyAlignment="1">
      <alignment horizontal="center" vertical="center" wrapText="1"/>
    </xf>
    <xf fontId="47" fillId="0" borderId="50" numFmtId="169" xfId="82" applyNumberFormat="1" applyFont="1" applyBorder="1" applyAlignment="1">
      <alignment horizontal="center" vertical="center"/>
    </xf>
    <xf fontId="47" fillId="0" borderId="51" numFmtId="169" xfId="82" applyNumberFormat="1" applyFont="1" applyBorder="1" applyAlignment="1">
      <alignment horizontal="center" vertical="center" wrapText="1"/>
    </xf>
    <xf fontId="63" fillId="55" borderId="0" numFmtId="0" xfId="95" applyFont="1" applyFill="1" applyAlignment="1">
      <alignment vertical="center" wrapText="1"/>
    </xf>
    <xf fontId="73" fillId="55" borderId="0" numFmtId="0" xfId="0" applyFont="1" applyFill="1" applyAlignment="1">
      <alignment horizontal="justify"/>
    </xf>
    <xf fontId="47" fillId="0" borderId="54" numFmtId="49" xfId="0" applyNumberFormat="1" applyFont="1" applyBorder="1" applyAlignment="1">
      <alignment horizontal="center" vertical="center"/>
    </xf>
    <xf fontId="27" fillId="0" borderId="81" numFmtId="0" xfId="82" applyFont="1" applyBorder="1" applyAlignment="1">
      <alignment horizontal="left" vertical="center" wrapText="1"/>
    </xf>
    <xf fontId="47" fillId="0" borderId="54" numFmtId="168" xfId="82" applyNumberFormat="1" applyFont="1" applyBorder="1" applyAlignment="1">
      <alignment horizontal="center" vertical="center"/>
    </xf>
    <xf fontId="47" fillId="0" borderId="55" numFmtId="175" xfId="117" applyNumberFormat="1" applyFont="1" applyBorder="1" applyAlignment="1">
      <alignment horizontal="center" vertical="center"/>
    </xf>
    <xf fontId="47" fillId="0" borderId="61" numFmtId="175" xfId="117" applyNumberFormat="1" applyFont="1" applyBorder="1" applyAlignment="1">
      <alignment horizontal="center" vertical="center"/>
    </xf>
    <xf fontId="47" fillId="0" borderId="54" numFmtId="175" xfId="117" applyNumberFormat="1" applyFont="1" applyBorder="1" applyAlignment="1">
      <alignment horizontal="center" vertical="center"/>
    </xf>
    <xf fontId="4" fillId="55" borderId="0" numFmtId="0" xfId="98" applyFont="1" applyFill="1" applyAlignment="1">
      <alignment vertical="center"/>
    </xf>
    <xf fontId="47" fillId="0" borderId="46" numFmtId="49" xfId="0" applyNumberFormat="1" applyFont="1" applyBorder="1" applyAlignment="1">
      <alignment horizontal="center" vertical="center"/>
    </xf>
    <xf fontId="27" fillId="0" borderId="32" numFmtId="0" xfId="0" applyFont="1" applyBorder="1" applyAlignment="1">
      <alignment horizontal="left" vertical="center"/>
    </xf>
    <xf fontId="47" fillId="0" borderId="46" numFmtId="167" xfId="82" applyNumberFormat="1" applyFont="1" applyBorder="1" applyAlignment="1">
      <alignment horizontal="center" vertical="center"/>
    </xf>
    <xf fontId="47" fillId="0" borderId="34" numFmtId="175" xfId="117" applyNumberFormat="1" applyFont="1" applyBorder="1" applyAlignment="1">
      <alignment horizontal="center" vertical="center"/>
    </xf>
    <xf fontId="47" fillId="0" borderId="31" numFmtId="175" xfId="117" applyNumberFormat="1" applyFont="1" applyBorder="1" applyAlignment="1">
      <alignment horizontal="center" vertical="center"/>
    </xf>
    <xf fontId="47" fillId="0" borderId="46" numFmtId="175" xfId="117" applyNumberFormat="1" applyFont="1" applyBorder="1" applyAlignment="1">
      <alignment horizontal="center" vertical="center"/>
    </xf>
    <xf fontId="27" fillId="0" borderId="81" numFmtId="0" xfId="0" applyFont="1" applyBorder="1" applyAlignment="1">
      <alignment horizontal="left" vertical="center" wrapText="1"/>
    </xf>
    <xf fontId="27" fillId="0" borderId="32" numFmtId="0" xfId="0" applyFont="1" applyBorder="1" applyAlignment="1">
      <alignment horizontal="left" vertical="center" wrapText="1"/>
    </xf>
    <xf fontId="47" fillId="0" borderId="29" numFmtId="0" xfId="82" applyFont="1" applyBorder="1" applyAlignment="1">
      <alignment horizontal="center" vertical="center" wrapText="1"/>
    </xf>
    <xf fontId="47" fillId="0" borderId="46" numFmtId="0" xfId="82" applyFont="1" applyBorder="1" applyAlignment="1">
      <alignment horizontal="center" vertical="center" wrapText="1"/>
    </xf>
    <xf fontId="47" fillId="0" borderId="47" numFmtId="175" xfId="117" applyNumberFormat="1" applyFont="1" applyBorder="1" applyAlignment="1">
      <alignment horizontal="center" vertical="center" wrapText="1"/>
    </xf>
    <xf fontId="47" fillId="0" borderId="50" numFmtId="49" xfId="82" applyNumberFormat="1" applyFont="1" applyBorder="1" applyAlignment="1">
      <alignment horizontal="center" vertical="center"/>
    </xf>
    <xf fontId="47" fillId="0" borderId="48" numFmtId="0" xfId="82" applyFont="1" applyBorder="1" applyAlignment="1">
      <alignment horizontal="center" vertical="center" wrapText="1"/>
    </xf>
    <xf fontId="47" fillId="0" borderId="54" numFmtId="49" xfId="82" applyNumberFormat="1" applyFont="1" applyBorder="1" applyAlignment="1">
      <alignment horizontal="center" vertical="center"/>
    </xf>
    <xf fontId="81" fillId="0" borderId="56" numFmtId="49" xfId="82" applyNumberFormat="1" applyFont="1" applyBorder="1" applyAlignment="1">
      <alignment horizontal="left" vertical="center"/>
    </xf>
    <xf fontId="47" fillId="0" borderId="0" numFmtId="49" xfId="82" applyNumberFormat="1" applyFont="1" applyAlignment="1">
      <alignment horizontal="left" vertical="center"/>
    </xf>
    <xf fontId="47" fillId="0" borderId="0" numFmtId="49" xfId="82" applyNumberFormat="1" applyFont="1" applyAlignment="1">
      <alignment horizontal="left" vertical="top" wrapText="1"/>
    </xf>
    <xf fontId="18" fillId="0" borderId="0" numFmtId="0" xfId="0" applyFont="1" applyAlignment="1">
      <alignment horizontal="center" vertical="center" wrapText="1"/>
    </xf>
    <xf fontId="18" fillId="0" borderId="37" numFmtId="0" xfId="0" applyFont="1" applyBorder="1" applyAlignment="1">
      <alignment horizontal="center" vertical="center" wrapText="1"/>
    </xf>
    <xf fontId="88" fillId="0" borderId="38" numFmtId="0" xfId="0" applyFont="1" applyBorder="1" applyAlignment="1" applyProtection="1">
      <alignment horizontal="left"/>
    </xf>
    <xf fontId="88" fillId="0" borderId="38" numFmtId="0" xfId="0" applyFont="1" applyBorder="1" applyProtection="1"/>
    <xf fontId="89" fillId="0" borderId="38" numFmtId="178" xfId="0" applyNumberFormat="1" applyFont="1" applyBorder="1" applyAlignment="1" applyProtection="1">
      <alignment horizontal="center"/>
    </xf>
    <xf fontId="89" fillId="59" borderId="38" numFmtId="178" xfId="0" applyNumberFormat="1" applyFont="1" applyFill="1" applyBorder="1" applyProtection="1"/>
    <xf fontId="89" fillId="0" borderId="82" numFmtId="49" xfId="0" applyNumberFormat="1" applyFont="1" applyBorder="1" applyAlignment="1" applyProtection="1">
      <alignment horizontal="left" vertical="center" wrapText="1"/>
    </xf>
    <xf fontId="89" fillId="0" borderId="82" numFmtId="0" xfId="0" applyFont="1" applyBorder="1" applyAlignment="1" applyProtection="1">
      <alignment horizontal="left" wrapText="1"/>
    </xf>
    <xf fontId="89" fillId="0" borderId="83" numFmtId="178" xfId="0" applyNumberFormat="1" applyFont="1" applyBorder="1" applyAlignment="1" applyProtection="1">
      <alignment horizontal="center"/>
    </xf>
    <xf fontId="89" fillId="59" borderId="83" numFmtId="178" xfId="0" applyNumberFormat="1" applyFont="1" applyFill="1" applyBorder="1" applyProtection="1"/>
    <xf fontId="89" fillId="0" borderId="83" numFmtId="178" xfId="0" applyNumberFormat="1" applyFont="1" applyBorder="1" applyProtection="1">
      <protection locked="0"/>
    </xf>
    <xf fontId="89" fillId="59" borderId="82" numFmtId="178" xfId="0" applyNumberFormat="1" applyFont="1" applyFill="1" applyBorder="1" applyProtection="1"/>
    <xf fontId="89" fillId="60" borderId="82" numFmtId="178" xfId="0" applyNumberFormat="1" applyFont="1" applyFill="1" applyBorder="1" applyProtection="1"/>
    <xf fontId="89" fillId="0" borderId="82" numFmtId="0" xfId="0" applyFont="1" applyBorder="1" applyAlignment="1" applyProtection="1">
      <alignment horizontal="left" vertical="center" wrapText="1"/>
    </xf>
    <xf fontId="89" fillId="0" borderId="83" numFmtId="178" xfId="0" applyNumberFormat="1" applyFont="1" applyBorder="1" applyAlignment="1" applyProtection="1">
      <alignment horizontal="center" vertical="center"/>
    </xf>
    <xf fontId="89" fillId="59" borderId="82" numFmtId="178" xfId="0" applyNumberFormat="1" applyFont="1" applyFill="1" applyBorder="1" applyAlignment="1" applyProtection="1">
      <alignment vertical="center"/>
    </xf>
    <xf fontId="89" fillId="60" borderId="82" numFmtId="178" xfId="0" applyNumberFormat="1" applyFont="1" applyFill="1" applyBorder="1" applyAlignment="1" applyProtection="1">
      <alignment vertical="center"/>
    </xf>
    <xf fontId="89" fillId="0" borderId="83" numFmtId="178" xfId="0" applyNumberFormat="1" applyFont="1" applyBorder="1" applyAlignment="1" applyProtection="1">
      <alignment vertical="center"/>
      <protection locked="0"/>
    </xf>
    <xf fontId="89" fillId="60" borderId="82" numFmtId="49" xfId="0" applyNumberFormat="1" applyFont="1" applyFill="1" applyBorder="1" applyAlignment="1" applyProtection="1">
      <alignment horizontal="left" vertical="center" wrapText="1"/>
    </xf>
    <xf fontId="89" fillId="60" borderId="82" numFmtId="0" xfId="97" applyFont="1" applyFill="1" applyBorder="1" applyAlignment="1" applyProtection="1">
      <alignment vertical="top" wrapText="1"/>
    </xf>
    <xf fontId="89" fillId="60" borderId="83" numFmtId="178" xfId="0" applyNumberFormat="1" applyFont="1" applyFill="1" applyBorder="1" applyAlignment="1" applyProtection="1">
      <alignment horizontal="center"/>
    </xf>
    <xf fontId="90" fillId="0" borderId="82" numFmtId="49" xfId="0" applyNumberFormat="1" applyFont="1" applyBorder="1" applyAlignment="1" applyProtection="1">
      <alignment horizontal="left" vertical="center" wrapText="1"/>
    </xf>
    <xf fontId="89" fillId="54" borderId="82" numFmtId="49" xfId="0" applyNumberFormat="1" applyFont="1" applyFill="1" applyBorder="1" applyAlignment="1" applyProtection="1">
      <alignment horizontal="left" vertical="center" wrapText="1"/>
    </xf>
    <xf fontId="89" fillId="54" borderId="82" numFmtId="0" xfId="0" applyFont="1" applyFill="1" applyBorder="1" applyAlignment="1" applyProtection="1">
      <alignment horizontal="left" wrapText="1"/>
    </xf>
    <xf fontId="89" fillId="54" borderId="83" numFmtId="178" xfId="0" applyNumberFormat="1" applyFont="1" applyFill="1" applyBorder="1" applyAlignment="1" applyProtection="1">
      <alignment horizontal="center"/>
    </xf>
    <xf fontId="89" fillId="54" borderId="82" numFmtId="178" xfId="0" applyNumberFormat="1" applyFont="1" applyFill="1" applyBorder="1" applyProtection="1"/>
    <xf fontId="89" fillId="54" borderId="83" numFmtId="178" xfId="0" applyNumberFormat="1" applyFont="1" applyFill="1" applyBorder="1" applyProtection="1">
      <protection locked="0"/>
    </xf>
    <xf fontId="89" fillId="61" borderId="83" numFmtId="178" xfId="0" applyNumberFormat="1" applyFont="1" applyFill="1" applyBorder="1" applyProtection="1">
      <protection locked="0"/>
    </xf>
    <xf fontId="89" fillId="59" borderId="84" numFmtId="178" xfId="0" applyNumberFormat="1" applyFont="1" applyFill="1" applyBorder="1" applyProtection="1"/>
    <xf fontId="88" fillId="0" borderId="38" numFmtId="0" xfId="0" applyFont="1" applyBorder="1" applyAlignment="1" applyProtection="1">
      <alignment horizontal="center"/>
    </xf>
    <xf fontId="89" fillId="0" borderId="38" numFmtId="178" xfId="125" applyNumberFormat="1" applyFont="1" applyBorder="1" applyAlignment="1" applyProtection="1">
      <alignment horizontal="center"/>
    </xf>
    <xf fontId="89" fillId="59" borderId="38" numFmtId="178" xfId="125" applyNumberFormat="1" applyFont="1" applyFill="1" applyBorder="1" applyAlignment="1" applyProtection="1">
      <alignment horizontal="right"/>
    </xf>
    <xf fontId="89" fillId="0" borderId="82" numFmtId="49" xfId="0" applyNumberFormat="1" applyFont="1" applyBorder="1" applyAlignment="1" applyProtection="1">
      <alignment horizontal="center" vertical="center" wrapText="1"/>
    </xf>
    <xf fontId="89" fillId="59" borderId="85" numFmtId="178" xfId="0" applyNumberFormat="1" applyFont="1" applyFill="1" applyBorder="1" applyProtection="1"/>
    <xf fontId="89" fillId="59" borderId="83" numFmtId="178" xfId="0" applyNumberFormat="1" applyFont="1" applyFill="1" applyBorder="1" applyAlignment="1" applyProtection="1">
      <alignment vertical="center"/>
    </xf>
    <xf fontId="89" fillId="54" borderId="82" numFmtId="49" xfId="0" applyNumberFormat="1" applyFont="1" applyFill="1" applyBorder="1" applyAlignment="1" applyProtection="1">
      <alignment horizontal="center" vertical="center" wrapText="1"/>
    </xf>
    <xf fontId="89" fillId="54" borderId="82" numFmtId="0" xfId="0" applyFont="1" applyFill="1" applyBorder="1" applyAlignment="1" applyProtection="1">
      <alignment horizontal="left" vertical="center" wrapText="1"/>
    </xf>
    <xf fontId="89" fillId="54" borderId="83" numFmtId="178" xfId="0" applyNumberFormat="1" applyFont="1" applyFill="1" applyBorder="1" applyAlignment="1" applyProtection="1">
      <alignment horizontal="center" vertical="center"/>
    </xf>
    <xf fontId="89" fillId="54" borderId="82" numFmtId="178" xfId="0" applyNumberFormat="1" applyFont="1" applyFill="1" applyBorder="1" applyAlignment="1" applyProtection="1">
      <alignment vertical="center"/>
    </xf>
    <xf fontId="89" fillId="54" borderId="83" numFmtId="178" xfId="0" applyNumberFormat="1" applyFont="1" applyFill="1" applyBorder="1" applyAlignment="1" applyProtection="1">
      <alignment vertical="center"/>
      <protection locked="0"/>
    </xf>
    <xf fontId="89" fillId="59" borderId="86" numFmtId="178" xfId="0" applyNumberFormat="1" applyFont="1" applyFill="1" applyBorder="1" applyAlignment="1" applyProtection="1">
      <alignment vertical="center"/>
    </xf>
    <xf fontId="89" fillId="0" borderId="83" numFmtId="0" xfId="0" applyFont="1" applyBorder="1" applyAlignment="1" applyProtection="1">
      <alignment horizontal="left" vertical="center" wrapText="1"/>
    </xf>
    <xf fontId="89" fillId="0" borderId="86" numFmtId="0" xfId="0" applyFont="1" applyBorder="1" applyAlignment="1" applyProtection="1">
      <alignment horizontal="left" vertical="center"/>
    </xf>
    <xf fontId="89" fillId="54" borderId="82" numFmtId="0" xfId="97" applyFont="1" applyFill="1" applyBorder="1" applyAlignment="1" applyProtection="1">
      <alignment horizontal="left" vertical="top" wrapText="1"/>
    </xf>
    <xf fontId="89" fillId="54" borderId="82" numFmtId="178" xfId="125" applyNumberFormat="1" applyFont="1" applyFill="1" applyBorder="1" applyAlignment="1" applyProtection="1">
      <alignment horizontal="center"/>
    </xf>
    <xf fontId="89" fillId="54" borderId="82" numFmtId="178" xfId="125" applyNumberFormat="1" applyFont="1" applyFill="1" applyBorder="1" applyAlignment="1" applyProtection="1">
      <alignment horizontal="right"/>
    </xf>
    <xf fontId="89" fillId="59" borderId="82" numFmtId="178" xfId="125" applyNumberFormat="1" applyFont="1" applyFill="1" applyBorder="1" applyAlignment="1" applyProtection="1">
      <alignment horizontal="right"/>
    </xf>
    <xf fontId="89" fillId="0" borderId="82" numFmtId="0" xfId="97" applyFont="1" applyBorder="1" applyAlignment="1" applyProtection="1">
      <alignment horizontal="left" vertical="top" wrapText="1"/>
    </xf>
    <xf fontId="89" fillId="0" borderId="82" numFmtId="178" xfId="125" applyNumberFormat="1" applyFont="1" applyBorder="1" applyAlignment="1" applyProtection="1">
      <alignment horizontal="center"/>
    </xf>
    <xf fontId="89" fillId="62" borderId="82" numFmtId="49" xfId="0" applyNumberFormat="1" applyFont="1" applyFill="1" applyBorder="1" applyAlignment="1" applyProtection="1">
      <alignment horizontal="center" vertical="center" wrapText="1"/>
    </xf>
    <xf fontId="89" fillId="62" borderId="82" numFmtId="0" xfId="97" applyFont="1" applyFill="1" applyBorder="1" applyAlignment="1" applyProtection="1">
      <alignment horizontal="left" vertical="top" wrapText="1"/>
    </xf>
    <xf fontId="89" fillId="62" borderId="82" numFmtId="178" xfId="125" applyNumberFormat="1" applyFont="1" applyFill="1" applyBorder="1" applyAlignment="1" applyProtection="1">
      <alignment horizontal="center"/>
    </xf>
    <xf fontId="89" fillId="62" borderId="82" numFmtId="178" xfId="0" applyNumberFormat="1" applyFont="1" applyFill="1" applyBorder="1" applyProtection="1"/>
    <xf fontId="89" fillId="60" borderId="82" numFmtId="178" xfId="125" applyNumberFormat="1" applyFont="1" applyFill="1" applyBorder="1" applyAlignment="1" applyProtection="1">
      <alignment horizontal="right"/>
    </xf>
    <xf fontId="89" fillId="0" borderId="83" numFmtId="49" xfId="0" applyNumberFormat="1" applyFont="1" applyBorder="1" applyAlignment="1" applyProtection="1">
      <alignment horizontal="center" vertical="center" wrapText="1"/>
    </xf>
    <xf fontId="89" fillId="0" borderId="82" numFmtId="0" xfId="97" applyFont="1" applyBorder="1" applyAlignment="1" applyProtection="1">
      <alignment horizontal="left" indent="3" vertical="top" wrapText="1"/>
    </xf>
    <xf fontId="89" fillId="0" borderId="82" numFmtId="0" xfId="97" applyFont="1" applyBorder="1" applyAlignment="1" applyProtection="1">
      <alignment horizontal="left" vertical="center" wrapText="1"/>
    </xf>
    <xf fontId="89" fillId="0" borderId="86" numFmtId="0" xfId="97" applyFont="1" applyBorder="1" applyAlignment="1" applyProtection="1">
      <alignment horizontal="left" indent="3" vertical="top" wrapText="1"/>
    </xf>
    <xf fontId="89" fillId="0" borderId="66" numFmtId="178" xfId="125" applyNumberFormat="1" applyFont="1" applyBorder="1" applyAlignment="1" applyProtection="1">
      <alignment horizontal="center"/>
    </xf>
    <xf fontId="89" fillId="59" borderId="66" numFmtId="178" xfId="0" applyNumberFormat="1" applyFont="1" applyFill="1" applyBorder="1" applyProtection="1"/>
    <xf fontId="89" fillId="61" borderId="66" numFmtId="178" xfId="125" applyNumberFormat="1" applyFont="1" applyFill="1" applyBorder="1" applyAlignment="1" applyProtection="1">
      <alignment horizontal="right"/>
      <protection locked="0"/>
    </xf>
    <xf fontId="80" fillId="0" borderId="38" numFmtId="0" xfId="0" applyFont="1" applyBorder="1" applyProtection="1"/>
    <xf fontId="89" fillId="0" borderId="0" numFmtId="0" xfId="97" applyFont="1" applyAlignment="1" applyProtection="1">
      <alignment horizontal="left" indent="3" vertical="top" wrapText="1"/>
    </xf>
    <xf fontId="0" fillId="0" borderId="0" numFmtId="178" xfId="0" applyNumberFormat="1"/>
    <xf fontId="27" fillId="0" borderId="66" numFmtId="0" xfId="0" applyFont="1" applyBorder="1" applyAlignment="1">
      <alignment horizontal="center" vertical="top"/>
    </xf>
    <xf fontId="44" fillId="0" borderId="66" numFmtId="0" xfId="0" applyFont="1" applyBorder="1" applyAlignment="1">
      <alignment horizontal="justify" vertical="top" wrapText="1"/>
    </xf>
    <xf fontId="27" fillId="0" borderId="38" numFmtId="0" xfId="0" applyFont="1" applyBorder="1" applyAlignment="1">
      <alignment horizontal="left" vertical="top"/>
    </xf>
    <xf fontId="27" fillId="0" borderId="38" numFmtId="3" xfId="0" applyNumberFormat="1" applyFont="1" applyBorder="1" applyAlignment="1">
      <alignment horizontal="right" vertical="top"/>
    </xf>
    <xf fontId="27" fillId="0" borderId="38" numFmtId="1" xfId="0" applyNumberFormat="1" applyFont="1" applyBorder="1" applyAlignment="1">
      <alignment horizontal="left" vertical="top"/>
    </xf>
    <xf fontId="27" fillId="0" borderId="38" numFmtId="0" xfId="0" applyFont="1" applyBorder="1" applyAlignment="1">
      <alignment horizontal="left" vertical="top" wrapText="1"/>
    </xf>
    <xf fontId="27" fillId="0" borderId="38" numFmtId="3" xfId="0" applyNumberFormat="1" applyFont="1" applyBorder="1" applyAlignment="1">
      <alignment horizontal="left" indent="1" vertical="top"/>
    </xf>
    <xf fontId="51" fillId="0" borderId="38" numFmtId="0" xfId="0" applyFont="1" applyBorder="1" applyAlignment="1">
      <alignment horizontal="left" vertical="top" wrapText="1"/>
    </xf>
    <xf fontId="51" fillId="0" borderId="38" numFmtId="3" xfId="0" applyNumberFormat="1" applyFont="1" applyBorder="1" applyAlignment="1">
      <alignment horizontal="right" vertical="top"/>
    </xf>
    <xf fontId="27" fillId="0" borderId="87" numFmtId="3" xfId="0" applyNumberFormat="1" applyFont="1" applyBorder="1" applyAlignment="1">
      <alignment horizontal="right" vertical="top"/>
    </xf>
    <xf fontId="27" fillId="0" borderId="22" numFmtId="3" xfId="0" applyNumberFormat="1" applyFont="1" applyBorder="1" applyAlignment="1">
      <alignment horizontal="left" indent="1" vertical="top"/>
    </xf>
    <xf fontId="27" fillId="0" borderId="21" numFmtId="3" xfId="0" applyNumberFormat="1" applyFont="1" applyBorder="1" applyAlignment="1">
      <alignment horizontal="left" indent="1" vertical="top"/>
    </xf>
    <xf fontId="27" fillId="0" borderId="21" numFmtId="3" xfId="0" applyNumberFormat="1" applyFont="1" applyBorder="1" applyAlignment="1">
      <alignment horizontal="right" vertical="top"/>
    </xf>
    <xf fontId="27" fillId="0" borderId="66" numFmtId="3" xfId="0" applyNumberFormat="1" applyFont="1" applyBorder="1" applyAlignment="1">
      <alignment horizontal="right" vertical="top"/>
    </xf>
    <xf fontId="27" fillId="0" borderId="38" numFmtId="0" xfId="0" applyFont="1" applyBorder="1" applyAlignment="1">
      <alignment horizontal="center" vertical="top" wrapText="1"/>
    </xf>
  </cellXfs>
  <cellStyles count="127">
    <cellStyle name="20% — акцент1" xfId="1" builtinId="30"/>
    <cellStyle name="20% - Акцент1 2" xfId="2"/>
    <cellStyle name="20% — акцент2" xfId="3" builtinId="34"/>
    <cellStyle name="20% - Акцент2 2" xfId="4"/>
    <cellStyle name="20% — акцент3" xfId="5" builtinId="38"/>
    <cellStyle name="20% - Акцент3 2" xfId="6"/>
    <cellStyle name="20% — акцент4" xfId="7" builtinId="42"/>
    <cellStyle name="20% - Акцент4 2" xfId="8"/>
    <cellStyle name="20% — акцент5" xfId="9" builtinId="46"/>
    <cellStyle name="20% - Акцент5 2" xfId="10"/>
    <cellStyle name="20% — акцент6" xfId="11" builtinId="50"/>
    <cellStyle name="20% - Акцент6 2" xfId="12"/>
    <cellStyle name="40% — акцент1" xfId="13" builtinId="31"/>
    <cellStyle name="40% - Акцент1 2" xfId="14"/>
    <cellStyle name="40% — акцент2" xfId="15" builtinId="35"/>
    <cellStyle name="40% - Акцент2 2" xfId="16"/>
    <cellStyle name="40% — акцент3" xfId="17" builtinId="39"/>
    <cellStyle name="40% - Акцент3 2" xfId="18"/>
    <cellStyle name="40% — акцент4" xfId="19" builtinId="43"/>
    <cellStyle name="40% - Акцент4 2" xfId="20"/>
    <cellStyle name="40% — акцент5" xfId="21" builtinId="47"/>
    <cellStyle name="40% - Акцент5 2" xfId="22"/>
    <cellStyle name="40% — акцент6" xfId="23" builtinId="51"/>
    <cellStyle name="40% - Акцент6 2" xfId="24"/>
    <cellStyle name="60% — акцент1" xfId="25" builtinId="32"/>
    <cellStyle name="60% - Акцент1 2" xfId="26"/>
    <cellStyle name="60% — акцент2" xfId="27" builtinId="36"/>
    <cellStyle name="60% - Акцент2 2" xfId="28"/>
    <cellStyle name="60% — акцент3" xfId="29" builtinId="40"/>
    <cellStyle name="60% - Акцент3 2" xfId="30"/>
    <cellStyle name="60% — акцент4" xfId="31" builtinId="44"/>
    <cellStyle name="60% - Акцент4 2" xfId="32"/>
    <cellStyle name="60% — акцент5" xfId="33" builtinId="48"/>
    <cellStyle name="60% - Акцент5 2" xfId="34"/>
    <cellStyle name="60% — акцент6" xfId="35" builtinId="52"/>
    <cellStyle name="60% - Акцент6 2" xfId="36"/>
    <cellStyle name="Normal 2" xfId="37"/>
    <cellStyle name="Акцент1" xfId="38" builtinId="29"/>
    <cellStyle name="Акцент1 2" xfId="39"/>
    <cellStyle name="Акцент2" xfId="40" builtinId="33"/>
    <cellStyle name="Акцент2 2" xfId="41"/>
    <cellStyle name="Акцент3" xfId="42" builtinId="37"/>
    <cellStyle name="Акцент3 2" xfId="43"/>
    <cellStyle name="Акцент4" xfId="44" builtinId="41"/>
    <cellStyle name="Акцент4 2" xfId="45"/>
    <cellStyle name="Акцент5" xfId="46" builtinId="45"/>
    <cellStyle name="Акцент5 2" xfId="47"/>
    <cellStyle name="Акцент6" xfId="48" builtinId="49"/>
    <cellStyle name="Акцент6 2" xfId="49"/>
    <cellStyle name="Ввод " xfId="50" builtinId="20"/>
    <cellStyle name="Ввод  2" xfId="51"/>
    <cellStyle name="Вывод" xfId="52" builtinId="21"/>
    <cellStyle name="Вывод 2" xfId="53"/>
    <cellStyle name="Вычисление" xfId="54" builtinId="22"/>
    <cellStyle name="Вычисление 2" xfId="55"/>
    <cellStyle name="Гиперссылка" xfId="56" builtinId="8"/>
    <cellStyle name="Денежный" xfId="57" builtinId="4"/>
    <cellStyle name="Денежный [0]" xfId="58" builtinId="7"/>
    <cellStyle name="Заголовок 1" xfId="59" builtinId="16"/>
    <cellStyle name="Заголовок 1 2" xfId="60"/>
    <cellStyle name="Заголовок 2" xfId="61" builtinId="17"/>
    <cellStyle name="Заголовок 2 2" xfId="62"/>
    <cellStyle name="Заголовок 3" xfId="63" builtinId="18"/>
    <cellStyle name="Заголовок 3 2" xfId="64"/>
    <cellStyle name="Заголовок 4" xfId="65" builtinId="19"/>
    <cellStyle name="Заголовок 4 2" xfId="66"/>
    <cellStyle name="Итог" xfId="67" builtinId="25"/>
    <cellStyle name="Итог 2" xfId="68"/>
    <cellStyle name="Контрольная ячейка" xfId="69" builtinId="23"/>
    <cellStyle name="Контрольная ячейка 2" xfId="70"/>
    <cellStyle name="Название" xfId="71" builtinId="15"/>
    <cellStyle name="Название 2" xfId="72"/>
    <cellStyle name="Нейтральный" xfId="73" builtinId="28"/>
    <cellStyle name="Нейтральный 2" xfId="74"/>
    <cellStyle name="Обычный" xfId="0" builtinId="0"/>
    <cellStyle name="Обычный 12" xfId="75"/>
    <cellStyle name="Обычный 12 2" xfId="76"/>
    <cellStyle name="Обычный 2" xfId="77"/>
    <cellStyle name="Обычный 2 26 2" xfId="78"/>
    <cellStyle name="Обычный 3" xfId="79"/>
    <cellStyle name="Обычный 3 10 2" xfId="80"/>
    <cellStyle name="Обычный 3 2" xfId="81"/>
    <cellStyle name="Обычный 3 2 2 2" xfId="82"/>
    <cellStyle name="Обычный 3 21" xfId="83"/>
    <cellStyle name="Обычный 30" xfId="84"/>
    <cellStyle name="Обычный 4" xfId="85"/>
    <cellStyle name="Обычный 4 2" xfId="86"/>
    <cellStyle name="Обычный 5" xfId="87"/>
    <cellStyle name="Обычный 6" xfId="88"/>
    <cellStyle name="Обычный 6 2" xfId="89"/>
    <cellStyle name="Обычный 6 2 2" xfId="90"/>
    <cellStyle name="Обычный 6 2 3" xfId="91"/>
    <cellStyle name="Обычный 7" xfId="92"/>
    <cellStyle name="Обычный 7 2" xfId="93"/>
    <cellStyle name="Обычный 8" xfId="94"/>
    <cellStyle name="Обычный_BPnov (1)" xfId="95"/>
    <cellStyle name="Обычный_Сводка для эот" xfId="96"/>
    <cellStyle name="Обычный_Формат МЭ  - (кор  08 09 2010) 2" xfId="97"/>
    <cellStyle name="Открывавшаяся гиперссылка" xfId="98" builtinId="9"/>
    <cellStyle name="Плохой" xfId="99" builtinId="27"/>
    <cellStyle name="Плохой 2" xfId="100"/>
    <cellStyle name="Пояснение" xfId="101" builtinId="53"/>
    <cellStyle name="Пояснение 2" xfId="102"/>
    <cellStyle name="Примечание" xfId="103" builtinId="10"/>
    <cellStyle name="Примечание 2" xfId="104"/>
    <cellStyle name="Процентный" xfId="105" builtinId="5"/>
    <cellStyle name="Процентный 2" xfId="106"/>
    <cellStyle name="Процентный 2 3" xfId="107"/>
    <cellStyle name="Процентный 2 3 2" xfId="108"/>
    <cellStyle name="Процентный 3" xfId="109"/>
    <cellStyle name="Процентный 4" xfId="110"/>
    <cellStyle name="Связанная ячейка" xfId="111" builtinId="24"/>
    <cellStyle name="Связанная ячейка 2" xfId="112"/>
    <cellStyle name="Стиль 1" xfId="113"/>
    <cellStyle name="Текст предупреждения" xfId="114" builtinId="11"/>
    <cellStyle name="Текст предупреждения 2" xfId="115"/>
    <cellStyle name="Финансовый" xfId="116" builtinId="3"/>
    <cellStyle name="Финансовый [0]" xfId="117" builtinId="6"/>
    <cellStyle name="Финансовый 2" xfId="118"/>
    <cellStyle name="Финансовый 2 2 2 2 2" xfId="119"/>
    <cellStyle name="Финансовый 3" xfId="120"/>
    <cellStyle name="Финансовый 5" xfId="121"/>
    <cellStyle name="Финансовый 5 2" xfId="122"/>
    <cellStyle name="Финансовый 6" xfId="123"/>
    <cellStyle name="Финансовый_Смета 2000 г." xfId="124"/>
    <cellStyle name="Хороший" xfId="125" builtinId="26"/>
    <cellStyle name="Хороший 2" xfId="1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A49" zoomScale="70" workbookViewId="0">
      <selection activeCell="I83" activeCellId="0" sqref="I83"/>
    </sheetView>
  </sheetViews>
  <sheetFormatPr baseColWidth="8" defaultColWidth="9.8554700000000004" defaultRowHeight="15.75" customHeight="1"/>
  <cols>
    <col customWidth="1" min="1" max="1" style="1" width="10.855499999999999"/>
    <col customWidth="1" min="2" max="2" style="1" width="88.140600000000006"/>
    <col customWidth="1" min="3" max="3" style="1" width="19.5703"/>
    <col bestFit="1" customWidth="1" min="4" max="4" style="1" width="18.140599999999999"/>
    <col bestFit="1" customWidth="1" min="5" max="6" style="1" width="18.710899999999999"/>
    <col customWidth="1" hidden="1" min="7" max="7" style="2" width="13.2852"/>
    <col customWidth="1" min="8" max="8" style="2" width="87.570300000000003"/>
    <col customWidth="1" min="9" max="9" style="2" width="68.710899999999995"/>
    <col customWidth="1" min="10" max="257" style="2" width="9.8554700000000004"/>
  </cols>
  <sheetData>
    <row r="1" ht="15.75">
      <c r="A1" s="3" t="s">
        <v>0</v>
      </c>
      <c r="B1" s="4"/>
      <c r="C1" s="4"/>
      <c r="D1" s="4"/>
      <c r="E1" s="4"/>
      <c r="F1" s="4"/>
      <c r="G1" s="4"/>
    </row>
    <row r="2" ht="16.5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ht="16.5">
      <c r="A3" s="8">
        <v>1</v>
      </c>
      <c r="B3" s="9">
        <v>2</v>
      </c>
      <c r="C3" s="10"/>
      <c r="D3" s="10">
        <v>4</v>
      </c>
      <c r="E3" s="10">
        <v>5</v>
      </c>
      <c r="F3" s="10">
        <v>5</v>
      </c>
      <c r="G3" s="11"/>
      <c r="H3" s="2"/>
    </row>
    <row r="4" ht="15.75">
      <c r="A4" s="12" t="s">
        <v>8</v>
      </c>
      <c r="B4" s="13" t="s">
        <v>9</v>
      </c>
      <c r="C4" s="14">
        <v>1471.4087790958158</v>
      </c>
      <c r="D4" s="14">
        <v>1573.3819227067406</v>
      </c>
      <c r="E4" s="14">
        <v>1585.7592146296631</v>
      </c>
      <c r="F4" s="14">
        <v>1649.5931772703236</v>
      </c>
      <c r="G4" s="15">
        <f>SUM(C4:F4)</f>
        <v>6280.1430937025425</v>
      </c>
      <c r="H4" s="16"/>
    </row>
    <row r="5" ht="15.75">
      <c r="A5" s="17"/>
      <c r="B5" s="18" t="s">
        <v>10</v>
      </c>
      <c r="C5" s="14"/>
      <c r="D5" s="14"/>
      <c r="E5" s="14"/>
      <c r="F5" s="14"/>
      <c r="G5" s="15" t="e">
        <f>#N/A</f>
        <v>#N/A</v>
      </c>
      <c r="H5" s="2"/>
    </row>
    <row r="6" ht="30">
      <c r="A6" s="17" t="s">
        <v>11</v>
      </c>
      <c r="B6" s="18" t="s">
        <v>12</v>
      </c>
      <c r="C6" s="19">
        <v>1393.5521911251199</v>
      </c>
      <c r="D6" s="14">
        <v>1487.8664643789443</v>
      </c>
      <c r="E6" s="14">
        <v>1527.3172112506459</v>
      </c>
      <c r="F6" s="14">
        <v>1587.9392953829388</v>
      </c>
      <c r="G6" s="15" t="e">
        <f>#N/A</f>
        <v>#N/A</v>
      </c>
      <c r="H6" s="16"/>
    </row>
    <row r="7" ht="15.75">
      <c r="A7" s="20" t="s">
        <v>13</v>
      </c>
      <c r="B7" s="18" t="s">
        <v>14</v>
      </c>
      <c r="C7" s="19">
        <v>77.856587970695983</v>
      </c>
      <c r="D7" s="14">
        <v>85.515458327796352</v>
      </c>
      <c r="E7" s="14">
        <v>58.442003379017144</v>
      </c>
      <c r="F7" s="14">
        <v>61.653881887384891</v>
      </c>
      <c r="G7" s="15" t="e">
        <f>#N/A</f>
        <v>#N/A</v>
      </c>
      <c r="H7" s="16"/>
    </row>
    <row r="8" ht="15.75">
      <c r="A8" s="21" t="s">
        <v>15</v>
      </c>
      <c r="B8" s="13" t="s">
        <v>16</v>
      </c>
      <c r="C8" s="22">
        <v>1771.9911320000001</v>
      </c>
      <c r="D8" s="14">
        <v>1891.5538059999997</v>
      </c>
      <c r="E8" s="14">
        <v>1908.3476839999998</v>
      </c>
      <c r="F8" s="14">
        <v>1955.6517599999997</v>
      </c>
      <c r="G8" s="15" t="e">
        <f>#N/A</f>
        <v>#N/A</v>
      </c>
      <c r="H8" s="16"/>
    </row>
    <row r="9" ht="15.75">
      <c r="A9" s="23" t="s">
        <v>17</v>
      </c>
      <c r="B9" s="13" t="s">
        <v>18</v>
      </c>
      <c r="C9" s="22">
        <v>581.75411182272308</v>
      </c>
      <c r="D9" s="14">
        <v>602.76269116160211</v>
      </c>
      <c r="E9" s="14">
        <v>624.65447809439888</v>
      </c>
      <c r="F9" s="14">
        <v>649.33861305256653</v>
      </c>
      <c r="G9" s="15" t="e">
        <f>#N/A</f>
        <v>#N/A</v>
      </c>
      <c r="H9" s="24"/>
    </row>
    <row r="10" ht="15.75">
      <c r="A10" s="17"/>
      <c r="B10" s="18" t="s">
        <v>10</v>
      </c>
      <c r="C10" s="25"/>
      <c r="D10" s="26"/>
      <c r="E10" s="26"/>
      <c r="F10" s="26"/>
      <c r="G10" s="15" t="e">
        <f>#N/A</f>
        <v>#N/A</v>
      </c>
      <c r="H10" s="27"/>
    </row>
    <row r="11" ht="15.75">
      <c r="A11" s="17" t="s">
        <v>11</v>
      </c>
      <c r="B11" s="18" t="s">
        <v>19</v>
      </c>
      <c r="C11" s="25">
        <v>531.86404964964311</v>
      </c>
      <c r="D11" s="26">
        <v>550.01240520932345</v>
      </c>
      <c r="E11" s="26">
        <v>568.79355056220675</v>
      </c>
      <c r="F11" s="26">
        <v>589.84546384991336</v>
      </c>
      <c r="G11" s="15" t="e">
        <f>#N/A</f>
        <v>#N/A</v>
      </c>
      <c r="H11" s="2"/>
    </row>
    <row r="12" ht="15.75">
      <c r="A12" s="17" t="s">
        <v>13</v>
      </c>
      <c r="B12" s="18" t="s">
        <v>20</v>
      </c>
      <c r="C12" s="25">
        <v>31.666067833079996</v>
      </c>
      <c r="D12" s="26">
        <v>32.87315513539864</v>
      </c>
      <c r="E12" s="26">
        <v>34.354445003837562</v>
      </c>
      <c r="F12" s="26">
        <v>36.24393947904862</v>
      </c>
      <c r="G12" s="15" t="e">
        <f>#N/A</f>
        <v>#N/A</v>
      </c>
      <c r="H12" s="2"/>
    </row>
    <row r="13" ht="15.75">
      <c r="A13" s="17" t="s">
        <v>21</v>
      </c>
      <c r="B13" s="18" t="s">
        <v>22</v>
      </c>
      <c r="C13" s="25">
        <v>18.223994339999997</v>
      </c>
      <c r="D13" s="26">
        <v>19.877130816879994</v>
      </c>
      <c r="E13" s="26">
        <v>21.506482528354638</v>
      </c>
      <c r="F13" s="26">
        <v>23.249209723604455</v>
      </c>
      <c r="G13" s="15" t="e">
        <f>#N/A</f>
        <v>#N/A</v>
      </c>
      <c r="H13" s="28"/>
    </row>
    <row r="14" ht="15.75">
      <c r="A14" s="23" t="s">
        <v>23</v>
      </c>
      <c r="B14" s="13" t="s">
        <v>24</v>
      </c>
      <c r="C14" s="22">
        <v>490.76007416401131</v>
      </c>
      <c r="D14" s="14">
        <v>509.40895698224375</v>
      </c>
      <c r="E14" s="14">
        <v>532.33236004644471</v>
      </c>
      <c r="F14" s="14">
        <v>561.6106398489992</v>
      </c>
      <c r="G14" s="15" t="e">
        <f>#N/A</f>
        <v>#N/A</v>
      </c>
      <c r="H14" s="2"/>
    </row>
    <row r="15" ht="15.75">
      <c r="A15" s="23" t="s">
        <v>25</v>
      </c>
      <c r="B15" s="13" t="s">
        <v>26</v>
      </c>
      <c r="C15" s="22">
        <v>182.08791219999995</v>
      </c>
      <c r="D15" s="29">
        <v>248.444089961</v>
      </c>
      <c r="E15" s="29">
        <v>249.09855200399997</v>
      </c>
      <c r="F15" s="29">
        <v>247.51132661719998</v>
      </c>
      <c r="G15" s="15" t="e">
        <f>#N/A</f>
        <v>#N/A</v>
      </c>
      <c r="H15" s="28"/>
    </row>
    <row r="16" ht="15.75">
      <c r="A16" s="23" t="s">
        <v>27</v>
      </c>
      <c r="B16" s="13" t="s">
        <v>28</v>
      </c>
      <c r="C16" s="22">
        <v>12.714032999999999</v>
      </c>
      <c r="D16" s="14">
        <v>13.451446914</v>
      </c>
      <c r="E16" s="14">
        <v>14.191276494269999</v>
      </c>
      <c r="F16" s="14">
        <v>14.971796701454849</v>
      </c>
      <c r="G16" s="15" t="e">
        <f>#N/A</f>
        <v>#N/A</v>
      </c>
      <c r="H16" s="30"/>
    </row>
    <row r="17" ht="15.75">
      <c r="A17" s="23" t="s">
        <v>29</v>
      </c>
      <c r="B17" s="13" t="s">
        <v>30</v>
      </c>
      <c r="C17" s="22">
        <v>504.6750008132658</v>
      </c>
      <c r="D17" s="14">
        <v>517.48662098115392</v>
      </c>
      <c r="E17" s="14">
        <v>488.07101736088623</v>
      </c>
      <c r="F17" s="14">
        <v>482.21938377977926</v>
      </c>
      <c r="G17" s="15" t="e">
        <f>#N/A</f>
        <v>#N/A</v>
      </c>
      <c r="H17" s="2"/>
    </row>
    <row r="18" ht="15.75">
      <c r="A18" s="17"/>
      <c r="B18" s="18" t="s">
        <v>10</v>
      </c>
      <c r="C18" s="25"/>
      <c r="D18" s="26"/>
      <c r="E18" s="26"/>
      <c r="F18" s="26"/>
      <c r="G18" s="15" t="e">
        <f>#N/A</f>
        <v>#N/A</v>
      </c>
      <c r="H18" s="2"/>
    </row>
    <row r="19" ht="15.75">
      <c r="A19" s="17" t="s">
        <v>31</v>
      </c>
      <c r="B19" s="18" t="s">
        <v>32</v>
      </c>
      <c r="C19" s="25">
        <v>81.454113800000002</v>
      </c>
      <c r="D19" s="31">
        <v>84.549370124400014</v>
      </c>
      <c r="E19" s="31">
        <v>88.354091779998015</v>
      </c>
      <c r="F19" s="31">
        <v>93.213566827897893</v>
      </c>
      <c r="G19" s="15" t="e">
        <f>#N/A</f>
        <v>#N/A</v>
      </c>
      <c r="H19" s="2"/>
    </row>
    <row r="20" ht="15.75">
      <c r="A20" s="17" t="s">
        <v>33</v>
      </c>
      <c r="B20" s="18" t="s">
        <v>34</v>
      </c>
      <c r="C20" s="25">
        <v>83.031887504799997</v>
      </c>
      <c r="D20" s="31">
        <v>76.232030650702399</v>
      </c>
      <c r="E20" s="31">
        <v>55.973239839984004</v>
      </c>
      <c r="F20" s="31">
        <v>26.906259125183126</v>
      </c>
      <c r="G20" s="15" t="e">
        <f>#N/A</f>
        <v>#N/A</v>
      </c>
      <c r="H20" s="2"/>
    </row>
    <row r="21" ht="16.5">
      <c r="A21" s="32" t="s">
        <v>35</v>
      </c>
      <c r="B21" s="18" t="s">
        <v>36</v>
      </c>
      <c r="C21" s="25">
        <v>29.437230865959801</v>
      </c>
      <c r="D21" s="31">
        <v>31.14459025618547</v>
      </c>
      <c r="E21" s="31">
        <v>32.857542720275667</v>
      </c>
      <c r="F21" s="31">
        <v>34.66470756989083</v>
      </c>
      <c r="G21" s="15" t="e">
        <f>#N/A</f>
        <v>#N/A</v>
      </c>
      <c r="H21" s="2"/>
    </row>
    <row r="22" ht="16.5">
      <c r="A22" s="33" t="s">
        <v>37</v>
      </c>
      <c r="B22" s="13" t="s">
        <v>38</v>
      </c>
      <c r="C22" s="22">
        <v>-300.58235290418429</v>
      </c>
      <c r="D22" s="14">
        <v>-318.17188329325904</v>
      </c>
      <c r="E22" s="14">
        <v>-322.58846937033672</v>
      </c>
      <c r="F22" s="14">
        <v>-306.05858272967612</v>
      </c>
      <c r="G22" s="15" t="e">
        <f>#N/A</f>
        <v>#N/A</v>
      </c>
      <c r="H22" s="16"/>
    </row>
    <row r="23" ht="15.75">
      <c r="A23" s="12" t="s">
        <v>39</v>
      </c>
      <c r="B23" s="13" t="s">
        <v>40</v>
      </c>
      <c r="C23" s="22">
        <v>253.47853612210002</v>
      </c>
      <c r="D23" s="14">
        <v>298.69440072895054</v>
      </c>
      <c r="E23" s="14">
        <v>343.39307794321775</v>
      </c>
      <c r="F23" s="14">
        <v>372.35159082009477</v>
      </c>
      <c r="G23" s="15" t="e">
        <f>#N/A</f>
        <v>#N/A</v>
      </c>
      <c r="H23" s="16"/>
    </row>
    <row r="24" ht="15.75">
      <c r="A24" s="17" t="s">
        <v>17</v>
      </c>
      <c r="B24" s="18" t="s">
        <v>41</v>
      </c>
      <c r="C24" s="25">
        <v>547.27176001905093</v>
      </c>
      <c r="D24" s="26">
        <v>465.27259175792665</v>
      </c>
      <c r="E24" s="26">
        <v>514.8162623415493</v>
      </c>
      <c r="F24" s="26">
        <v>545.21251286033453</v>
      </c>
      <c r="G24" s="15" t="e">
        <f>#N/A</f>
        <v>#N/A</v>
      </c>
      <c r="H24" s="2"/>
    </row>
    <row r="25" ht="15.75">
      <c r="A25" s="17"/>
      <c r="B25" s="18" t="s">
        <v>42</v>
      </c>
      <c r="C25" s="25"/>
      <c r="D25" s="31"/>
      <c r="E25" s="31"/>
      <c r="F25" s="31"/>
      <c r="G25" s="15" t="e">
        <f>#N/A</f>
        <v>#N/A</v>
      </c>
      <c r="H25" s="2"/>
    </row>
    <row r="26" ht="15.75">
      <c r="A26" s="17" t="s">
        <v>11</v>
      </c>
      <c r="B26" s="18" t="s">
        <v>43</v>
      </c>
      <c r="C26" s="25">
        <v>0</v>
      </c>
      <c r="D26" s="31">
        <v>0</v>
      </c>
      <c r="E26" s="31">
        <v>0</v>
      </c>
      <c r="F26" s="31">
        <v>0</v>
      </c>
      <c r="G26" s="15" t="e">
        <f>#N/A</f>
        <v>#N/A</v>
      </c>
      <c r="H26" s="2"/>
    </row>
    <row r="27" ht="15.75">
      <c r="A27" s="17" t="s">
        <v>13</v>
      </c>
      <c r="B27" s="34" t="s">
        <v>44</v>
      </c>
      <c r="C27" s="35">
        <v>3.6487099999999999</v>
      </c>
      <c r="D27" s="36">
        <v>3.8603351799999999</v>
      </c>
      <c r="E27" s="36">
        <v>4.0726536149000001</v>
      </c>
      <c r="F27" s="36">
        <v>4.296649563719499</v>
      </c>
      <c r="G27" s="15" t="e">
        <f>#N/A</f>
        <v>#N/A</v>
      </c>
      <c r="H27" s="2"/>
    </row>
    <row r="28" ht="15.75">
      <c r="A28" s="17" t="s">
        <v>23</v>
      </c>
      <c r="B28" s="18" t="s">
        <v>45</v>
      </c>
      <c r="C28" s="25">
        <v>293.79322389695091</v>
      </c>
      <c r="D28" s="26">
        <v>166.57819102897611</v>
      </c>
      <c r="E28" s="26">
        <v>171.42318439833156</v>
      </c>
      <c r="F28" s="26">
        <v>172.86092204023979</v>
      </c>
      <c r="G28" s="15" t="e">
        <f>#N/A</f>
        <v>#N/A</v>
      </c>
      <c r="H28" s="37"/>
    </row>
    <row r="29" ht="15.75">
      <c r="A29" s="17"/>
      <c r="B29" s="18" t="s">
        <v>42</v>
      </c>
      <c r="C29" s="25"/>
      <c r="D29" s="26"/>
      <c r="E29" s="26"/>
      <c r="F29" s="26"/>
      <c r="G29" s="15" t="e">
        <f>#N/A</f>
        <v>#N/A</v>
      </c>
      <c r="H29" s="2"/>
    </row>
    <row r="30" ht="16.5">
      <c r="A30" s="32" t="s">
        <v>46</v>
      </c>
      <c r="B30" s="18" t="s">
        <v>47</v>
      </c>
      <c r="C30" s="25">
        <v>31.952114379999998</v>
      </c>
      <c r="D30" s="26">
        <v>24.37875</v>
      </c>
      <c r="E30" s="26">
        <v>21.532499999999999</v>
      </c>
      <c r="F30" s="26">
        <v>14.72625</v>
      </c>
      <c r="G30" s="15" t="e">
        <f>#N/A</f>
        <v>#N/A</v>
      </c>
      <c r="H30" s="2"/>
    </row>
    <row r="31" ht="16.5">
      <c r="A31" s="38" t="s">
        <v>48</v>
      </c>
      <c r="B31" s="13" t="s">
        <v>49</v>
      </c>
      <c r="C31" s="22">
        <v>-1.2522714238188826</v>
      </c>
      <c r="D31" s="14">
        <v>29.057211497375079</v>
      </c>
      <c r="E31" s="14">
        <v>70.01301915479678</v>
      </c>
      <c r="F31" s="14">
        <v>112.9799105407082</v>
      </c>
      <c r="G31" s="15" t="e">
        <f>#N/A</f>
        <v>#N/A</v>
      </c>
      <c r="H31" s="16"/>
    </row>
    <row r="32" ht="16.5">
      <c r="A32" s="38" t="s">
        <v>50</v>
      </c>
      <c r="B32" s="13" t="s">
        <v>51</v>
      </c>
      <c r="C32" s="22">
        <v>0</v>
      </c>
      <c r="D32" s="14">
        <v>5.8114422994750159</v>
      </c>
      <c r="E32" s="14">
        <v>14.002603830959357</v>
      </c>
      <c r="F32" s="14">
        <v>22.595982108141641</v>
      </c>
      <c r="G32" s="15" t="e">
        <f>#N/A</f>
        <v>#N/A</v>
      </c>
      <c r="H32" s="2"/>
    </row>
    <row r="33" ht="16.5">
      <c r="A33" s="38" t="s">
        <v>52</v>
      </c>
      <c r="B33" s="13" t="s">
        <v>53</v>
      </c>
      <c r="C33" s="22">
        <v>-1.2522714238188826</v>
      </c>
      <c r="D33" s="29">
        <v>23.245769197900064</v>
      </c>
      <c r="E33" s="29">
        <v>56.010415323837421</v>
      </c>
      <c r="F33" s="29">
        <v>90.383928432566563</v>
      </c>
      <c r="G33" s="15" t="e">
        <f>#N/A</f>
        <v>#N/A</v>
      </c>
      <c r="H33" s="16"/>
    </row>
    <row r="34" ht="15.75">
      <c r="A34" s="12" t="s">
        <v>54</v>
      </c>
      <c r="B34" s="13" t="s">
        <v>55</v>
      </c>
      <c r="C34" s="22">
        <v>0</v>
      </c>
      <c r="D34" s="14">
        <v>0</v>
      </c>
      <c r="E34" s="14">
        <v>0.23245779800536015</v>
      </c>
      <c r="F34" s="14">
        <v>0.56010435361397781</v>
      </c>
      <c r="G34" s="15" t="e">
        <f>#N/A</f>
        <v>#N/A</v>
      </c>
      <c r="H34" s="2"/>
    </row>
    <row r="35" ht="15.75">
      <c r="A35" s="17"/>
      <c r="B35" s="18" t="s">
        <v>10</v>
      </c>
      <c r="C35" s="25"/>
      <c r="D35" s="26"/>
      <c r="E35" s="26"/>
      <c r="F35" s="26"/>
      <c r="G35" s="15" t="e">
        <f>#N/A</f>
        <v>#N/A</v>
      </c>
    </row>
    <row r="36" ht="15.75">
      <c r="A36" s="17" t="s">
        <v>17</v>
      </c>
      <c r="B36" s="18" t="s">
        <v>56</v>
      </c>
      <c r="C36" s="25">
        <v>0</v>
      </c>
      <c r="D36" s="31">
        <v>0</v>
      </c>
      <c r="E36" s="31">
        <v>0</v>
      </c>
      <c r="F36" s="31">
        <v>0</v>
      </c>
      <c r="G36" s="15" t="e">
        <f>#N/A</f>
        <v>#N/A</v>
      </c>
    </row>
    <row r="37" ht="15.75">
      <c r="A37" s="39" t="s">
        <v>23</v>
      </c>
      <c r="B37" s="18" t="s">
        <v>57</v>
      </c>
      <c r="C37" s="25">
        <v>0</v>
      </c>
      <c r="D37" s="40">
        <v>0</v>
      </c>
      <c r="E37" s="40">
        <v>0</v>
      </c>
      <c r="F37" s="41">
        <v>0</v>
      </c>
      <c r="G37" s="15" t="e">
        <f>#N/A</f>
        <v>#N/A</v>
      </c>
    </row>
    <row r="38" ht="15.75">
      <c r="A38" s="17" t="s">
        <v>25</v>
      </c>
      <c r="B38" s="18" t="s">
        <v>58</v>
      </c>
      <c r="C38" s="25">
        <v>0</v>
      </c>
      <c r="D38" s="40">
        <v>0</v>
      </c>
      <c r="E38" s="40">
        <v>0.23245779800536015</v>
      </c>
      <c r="F38" s="40">
        <v>0.56010435361397781</v>
      </c>
      <c r="G38" s="15" t="e">
        <f>#N/A</f>
        <v>#N/A</v>
      </c>
    </row>
    <row r="39" ht="16.5">
      <c r="A39" s="32" t="s">
        <v>27</v>
      </c>
      <c r="B39" s="18" t="s">
        <v>59</v>
      </c>
      <c r="C39" s="25">
        <v>0</v>
      </c>
      <c r="D39" s="14">
        <v>0</v>
      </c>
      <c r="E39" s="14">
        <v>0</v>
      </c>
      <c r="F39" s="14">
        <v>0</v>
      </c>
      <c r="G39" s="15" t="e">
        <f>#N/A</f>
        <v>#N/A</v>
      </c>
    </row>
    <row r="40" ht="15.75">
      <c r="A40" s="12" t="s">
        <v>60</v>
      </c>
      <c r="B40" s="13" t="s">
        <v>61</v>
      </c>
      <c r="C40" s="22">
        <v>43.176324883527315</v>
      </c>
      <c r="D40" s="42">
        <v>24.924869178344437</v>
      </c>
      <c r="E40" s="14">
        <v>20.955812869012362</v>
      </c>
      <c r="F40" s="14">
        <v>49.264765241833743</v>
      </c>
      <c r="G40" s="15" t="e">
        <f>#N/A</f>
        <v>#N/A</v>
      </c>
    </row>
    <row r="41" s="1" customFormat="1">
      <c r="A41" s="17" t="s">
        <v>17</v>
      </c>
      <c r="B41" s="43" t="s">
        <v>62</v>
      </c>
      <c r="C41" s="44">
        <v>43.176324883527315</v>
      </c>
      <c r="D41" s="26">
        <v>0</v>
      </c>
      <c r="E41" s="36">
        <v>20.955812869012362</v>
      </c>
      <c r="F41" s="36">
        <v>49.264765241833743</v>
      </c>
      <c r="G41" s="15" t="e">
        <f>#N/A</f>
        <v>#N/A</v>
      </c>
    </row>
    <row r="42" s="1" customFormat="1">
      <c r="A42" s="17" t="s">
        <v>23</v>
      </c>
      <c r="B42" s="18" t="s">
        <v>63</v>
      </c>
      <c r="C42" s="25">
        <v>0</v>
      </c>
      <c r="D42" s="45">
        <v>24.924869178344437</v>
      </c>
      <c r="E42" s="26">
        <v>0</v>
      </c>
      <c r="F42" s="26">
        <v>0</v>
      </c>
      <c r="G42" s="15" t="e">
        <f>#N/A</f>
        <v>#N/A</v>
      </c>
    </row>
    <row r="43" s="1" customFormat="1">
      <c r="A43" s="32"/>
      <c r="B43" s="18" t="s">
        <v>64</v>
      </c>
      <c r="C43" s="25" t="s">
        <v>65</v>
      </c>
      <c r="D43" s="46" t="s">
        <v>66</v>
      </c>
      <c r="E43" s="46" t="s">
        <v>65</v>
      </c>
      <c r="F43" s="46" t="s">
        <v>65</v>
      </c>
      <c r="G43" s="15" t="e">
        <f>#N/A</f>
        <v>#N/A</v>
      </c>
    </row>
    <row r="44" ht="15.75">
      <c r="A44" s="12" t="s">
        <v>67</v>
      </c>
      <c r="B44" s="13" t="s">
        <v>68</v>
      </c>
      <c r="C44" s="22">
        <v>203.16637649711416</v>
      </c>
      <c r="D44" s="14">
        <v>120.19931504986602</v>
      </c>
      <c r="E44" s="14">
        <v>105.97725115965055</v>
      </c>
      <c r="F44" s="14">
        <v>82.92307999999997</v>
      </c>
      <c r="G44" s="15" t="e">
        <f>#N/A</f>
        <v>#N/A</v>
      </c>
    </row>
    <row r="45" s="1" customFormat="1">
      <c r="A45" s="17" t="s">
        <v>17</v>
      </c>
      <c r="B45" s="43" t="s">
        <v>69</v>
      </c>
      <c r="C45" s="44">
        <v>203.16637649711416</v>
      </c>
      <c r="D45" s="26">
        <v>0</v>
      </c>
      <c r="E45" s="36">
        <v>0</v>
      </c>
      <c r="F45" s="36">
        <v>0</v>
      </c>
      <c r="G45" s="15" t="e">
        <f>#N/A</f>
        <v>#N/A</v>
      </c>
    </row>
    <row r="46" s="1" customFormat="1">
      <c r="A46" s="17" t="s">
        <v>23</v>
      </c>
      <c r="B46" s="18" t="s">
        <v>70</v>
      </c>
      <c r="C46" s="25">
        <v>0</v>
      </c>
      <c r="D46" s="47">
        <v>120.19931504986602</v>
      </c>
      <c r="E46" s="47">
        <v>105.97725115965055</v>
      </c>
      <c r="F46" s="26">
        <v>82.92307999999997</v>
      </c>
      <c r="G46" s="15" t="e">
        <f>#N/A</f>
        <v>#N/A</v>
      </c>
    </row>
    <row r="47" s="1" customFormat="1">
      <c r="A47" s="32"/>
      <c r="B47" s="18" t="s">
        <v>64</v>
      </c>
      <c r="C47" s="25" t="s">
        <v>65</v>
      </c>
      <c r="D47" s="46" t="s">
        <v>66</v>
      </c>
      <c r="E47" s="48" t="s">
        <v>66</v>
      </c>
      <c r="F47" s="46" t="s">
        <v>66</v>
      </c>
      <c r="G47" s="15" t="e">
        <f>#N/A</f>
        <v>#N/A</v>
      </c>
    </row>
    <row r="48" ht="15.75">
      <c r="A48" s="12" t="s">
        <v>71</v>
      </c>
      <c r="B48" s="13" t="s">
        <v>72</v>
      </c>
      <c r="C48" s="22">
        <v>62</v>
      </c>
      <c r="D48" s="14">
        <v>0</v>
      </c>
      <c r="E48" s="14">
        <v>0</v>
      </c>
      <c r="F48" s="14">
        <v>0</v>
      </c>
      <c r="G48" s="15" t="e">
        <f>#N/A</f>
        <v>#N/A</v>
      </c>
    </row>
    <row r="49" ht="15.75">
      <c r="A49" s="23"/>
      <c r="B49" s="18" t="s">
        <v>73</v>
      </c>
      <c r="C49" s="25"/>
      <c r="D49" s="26"/>
      <c r="E49" s="26"/>
      <c r="F49" s="26"/>
      <c r="G49" s="15" t="e">
        <f>#N/A</f>
        <v>#N/A</v>
      </c>
    </row>
    <row r="50" ht="15.75">
      <c r="A50" s="17" t="s">
        <v>17</v>
      </c>
      <c r="B50" s="18" t="s">
        <v>74</v>
      </c>
      <c r="C50" s="25">
        <v>62</v>
      </c>
      <c r="D50" s="31">
        <v>0</v>
      </c>
      <c r="E50" s="31">
        <v>0</v>
      </c>
      <c r="F50" s="31">
        <v>0</v>
      </c>
      <c r="G50" s="15" t="e">
        <f>#N/A</f>
        <v>#N/A</v>
      </c>
    </row>
    <row r="51" ht="15.75">
      <c r="A51" s="17" t="s">
        <v>11</v>
      </c>
      <c r="B51" s="18" t="s">
        <v>75</v>
      </c>
      <c r="C51" s="25"/>
      <c r="D51" s="49"/>
      <c r="E51" s="49"/>
      <c r="F51" s="49"/>
      <c r="G51" s="15" t="e">
        <f>#N/A</f>
        <v>#N/A</v>
      </c>
    </row>
    <row r="52" ht="16.5">
      <c r="A52" s="17" t="s">
        <v>23</v>
      </c>
      <c r="B52" s="18" t="s">
        <v>76</v>
      </c>
      <c r="C52" s="25">
        <v>0</v>
      </c>
      <c r="D52" s="46">
        <v>0</v>
      </c>
      <c r="E52" s="46">
        <v>0</v>
      </c>
      <c r="F52" s="46">
        <v>0</v>
      </c>
      <c r="G52" s="15" t="e">
        <f>#N/A</f>
        <v>#N/A</v>
      </c>
    </row>
    <row r="53" ht="15.75">
      <c r="A53" s="12" t="s">
        <v>77</v>
      </c>
      <c r="B53" s="13" t="s">
        <v>78</v>
      </c>
      <c r="C53" s="22">
        <v>90</v>
      </c>
      <c r="D53" s="29">
        <v>23</v>
      </c>
      <c r="E53" s="29">
        <v>55</v>
      </c>
      <c r="F53" s="29">
        <v>119</v>
      </c>
      <c r="G53" s="15" t="e">
        <f>#N/A</f>
        <v>#N/A</v>
      </c>
    </row>
    <row r="54" ht="15.75">
      <c r="A54" s="23"/>
      <c r="B54" s="18" t="s">
        <v>79</v>
      </c>
      <c r="C54" s="25"/>
      <c r="D54" s="26"/>
      <c r="E54" s="26"/>
      <c r="F54" s="26"/>
      <c r="G54" s="15" t="e">
        <f>#N/A</f>
        <v>#N/A</v>
      </c>
    </row>
    <row r="55" ht="15.75">
      <c r="A55" s="17" t="s">
        <v>17</v>
      </c>
      <c r="B55" s="18" t="s">
        <v>80</v>
      </c>
      <c r="C55" s="25">
        <v>90</v>
      </c>
      <c r="D55" s="49">
        <v>23</v>
      </c>
      <c r="E55" s="49">
        <v>55</v>
      </c>
      <c r="F55" s="49">
        <v>119</v>
      </c>
      <c r="G55" s="15" t="e">
        <f>#N/A</f>
        <v>#N/A</v>
      </c>
    </row>
    <row r="56" ht="15.75">
      <c r="A56" s="17" t="s">
        <v>11</v>
      </c>
      <c r="B56" s="18" t="s">
        <v>75</v>
      </c>
      <c r="C56" s="25"/>
      <c r="D56" s="49"/>
      <c r="E56" s="49"/>
      <c r="F56" s="49"/>
      <c r="G56" s="15" t="e">
        <f>#N/A</f>
        <v>#N/A</v>
      </c>
    </row>
    <row r="57" ht="15.75">
      <c r="A57" s="17" t="s">
        <v>23</v>
      </c>
      <c r="B57" s="18" t="s">
        <v>76</v>
      </c>
      <c r="C57" s="25">
        <v>0</v>
      </c>
      <c r="D57" s="26">
        <v>0</v>
      </c>
      <c r="E57" s="26">
        <v>0</v>
      </c>
      <c r="F57" s="26">
        <v>0</v>
      </c>
      <c r="G57" s="15" t="e">
        <f>#N/A</f>
        <v>#N/A</v>
      </c>
    </row>
    <row r="58" ht="16.5">
      <c r="A58" s="50" t="s">
        <v>81</v>
      </c>
      <c r="B58" s="13" t="s">
        <v>82</v>
      </c>
      <c r="C58" s="22">
        <v>38.635462092203369</v>
      </c>
      <c r="D58" s="26">
        <v>43.956610169491512</v>
      </c>
      <c r="E58" s="26">
        <v>36.502779661016945</v>
      </c>
      <c r="F58" s="26">
        <v>21.212847457627106</v>
      </c>
      <c r="G58" s="15" t="e">
        <f>#N/A</f>
        <v>#N/A</v>
      </c>
    </row>
    <row r="59" ht="15.75">
      <c r="A59" s="12" t="s">
        <v>83</v>
      </c>
      <c r="B59" s="13" t="s">
        <v>84</v>
      </c>
      <c r="C59" s="22">
        <v>152.97232080000001</v>
      </c>
      <c r="D59" s="49">
        <v>0</v>
      </c>
      <c r="E59" s="49">
        <v>0</v>
      </c>
      <c r="F59" s="49">
        <v>0</v>
      </c>
      <c r="G59" s="15" t="e">
        <f>#N/A</f>
        <v>#N/A</v>
      </c>
    </row>
    <row r="60" ht="15.75">
      <c r="A60" s="17" t="s">
        <v>17</v>
      </c>
      <c r="B60" s="18" t="s">
        <v>85</v>
      </c>
      <c r="C60" s="25">
        <v>0</v>
      </c>
      <c r="D60" s="26">
        <v>0</v>
      </c>
      <c r="E60" s="26">
        <v>0</v>
      </c>
      <c r="F60" s="26">
        <v>0</v>
      </c>
      <c r="G60" s="15" t="e">
        <f>#N/A</f>
        <v>#N/A</v>
      </c>
    </row>
    <row r="61" ht="16.5">
      <c r="A61" s="32" t="s">
        <v>23</v>
      </c>
      <c r="B61" s="18" t="s">
        <v>86</v>
      </c>
      <c r="C61" s="25">
        <v>152.97232080000001</v>
      </c>
      <c r="D61" s="26">
        <v>0</v>
      </c>
      <c r="E61" s="26">
        <v>0</v>
      </c>
      <c r="F61" s="26">
        <v>0</v>
      </c>
      <c r="G61" s="15" t="e">
        <f>#N/A</f>
        <v>#N/A</v>
      </c>
    </row>
    <row r="62" ht="16.5">
      <c r="A62" s="38" t="s">
        <v>87</v>
      </c>
      <c r="B62" s="13" t="s">
        <v>88</v>
      </c>
      <c r="C62" s="22">
        <v>0</v>
      </c>
      <c r="D62" s="31">
        <v>0</v>
      </c>
      <c r="E62" s="31">
        <v>0</v>
      </c>
      <c r="F62" s="31">
        <v>0</v>
      </c>
      <c r="G62" s="15" t="e">
        <f>#N/A</f>
        <v>#N/A</v>
      </c>
    </row>
    <row r="63" ht="15.75">
      <c r="A63" s="21" t="s">
        <v>89</v>
      </c>
      <c r="B63" s="13" t="s">
        <v>90</v>
      </c>
      <c r="C63" s="22">
        <v>253.27691816000001</v>
      </c>
      <c r="D63" s="14">
        <v>288.16000000000003</v>
      </c>
      <c r="E63" s="14">
        <v>239.29599999999999</v>
      </c>
      <c r="F63" s="14">
        <v>139.06199999999998</v>
      </c>
      <c r="G63" s="15" t="e">
        <f>#N/A</f>
        <v>#N/A</v>
      </c>
    </row>
    <row r="64" ht="16.5">
      <c r="A64" s="51"/>
      <c r="B64" s="18" t="s">
        <v>75</v>
      </c>
      <c r="C64" s="25"/>
      <c r="D64" s="49"/>
      <c r="E64" s="49"/>
      <c r="F64" s="49"/>
      <c r="G64" s="15" t="e">
        <f>#N/A</f>
        <v>#N/A</v>
      </c>
    </row>
    <row r="65" ht="32.25">
      <c r="A65" s="38" t="s">
        <v>89</v>
      </c>
      <c r="B65" s="13" t="s">
        <v>91</v>
      </c>
      <c r="C65" s="22">
        <v>2475.4546985041843</v>
      </c>
      <c r="D65" s="26">
        <v>2107.535993812503</v>
      </c>
      <c r="E65" s="26">
        <v>2137.0782566322296</v>
      </c>
      <c r="F65" s="26">
        <v>2216.0185375882852</v>
      </c>
      <c r="G65" s="15" t="e">
        <f>#N/A</f>
        <v>#N/A</v>
      </c>
    </row>
    <row r="66" ht="47.25">
      <c r="A66" s="12" t="s">
        <v>92</v>
      </c>
      <c r="B66" s="13" t="s">
        <v>93</v>
      </c>
      <c r="C66" s="22">
        <v>2270.1496867404785</v>
      </c>
      <c r="D66" s="26">
        <v>2246.858664417317</v>
      </c>
      <c r="E66" s="26">
        <v>2266.136442051959</v>
      </c>
      <c r="F66" s="26">
        <v>2294.4072871266289</v>
      </c>
      <c r="G66" s="15" t="e">
        <f>#N/A</f>
        <v>#N/A</v>
      </c>
    </row>
    <row r="67" ht="32.25">
      <c r="A67" s="52"/>
      <c r="B67" s="13" t="s">
        <v>94</v>
      </c>
      <c r="C67" s="22">
        <v>205.30501176370581</v>
      </c>
      <c r="D67" s="14">
        <v>-139.32267060481399</v>
      </c>
      <c r="E67" s="14">
        <v>-129.0581854197294</v>
      </c>
      <c r="F67" s="14">
        <v>-78.388749538343745</v>
      </c>
      <c r="G67" s="15" t="e">
        <f>#N/A</f>
        <v>#N/A</v>
      </c>
    </row>
    <row r="68" ht="15.75">
      <c r="A68" s="53"/>
      <c r="B68" s="13" t="s">
        <v>95</v>
      </c>
      <c r="C68" s="22"/>
      <c r="D68" s="26"/>
      <c r="E68" s="26"/>
      <c r="F68" s="26"/>
      <c r="G68" s="15"/>
    </row>
    <row r="69" ht="15.75">
      <c r="A69" s="17" t="s">
        <v>17</v>
      </c>
      <c r="B69" s="18" t="s">
        <v>96</v>
      </c>
      <c r="C69" s="25">
        <v>181.36294324646462</v>
      </c>
      <c r="D69" s="46">
        <v>260.12147852067005</v>
      </c>
      <c r="E69" s="46">
        <v>298.57335838684719</v>
      </c>
      <c r="F69" s="46">
        <v>333.16489628901678</v>
      </c>
      <c r="G69" s="15" t="e">
        <f>#N/A</f>
        <v>#N/A</v>
      </c>
    </row>
    <row r="70" ht="15.75">
      <c r="A70" s="17" t="s">
        <v>23</v>
      </c>
      <c r="B70" s="54" t="s">
        <v>97</v>
      </c>
      <c r="C70" s="25">
        <v>197</v>
      </c>
      <c r="D70" s="55">
        <v>174</v>
      </c>
      <c r="E70" s="55">
        <v>119</v>
      </c>
      <c r="F70" s="55">
        <v>0</v>
      </c>
      <c r="G70" s="15" t="e">
        <f>#N/A</f>
        <v>#N/A</v>
      </c>
      <c r="H70" s="2" t="s">
        <v>98</v>
      </c>
    </row>
    <row r="71" ht="15.75">
      <c r="A71" s="17" t="s">
        <v>25</v>
      </c>
      <c r="B71" s="18" t="s">
        <v>99</v>
      </c>
      <c r="C71" s="25">
        <v>4.2443967557702162</v>
      </c>
      <c r="D71" s="55">
        <v>4.5754223593202221</v>
      </c>
      <c r="E71" s="55">
        <v>4.7765990853910258</v>
      </c>
      <c r="F71" s="55">
        <v>4.9702263563689248</v>
      </c>
      <c r="G71" s="15">
        <f>SUM(C71:F71)</f>
        <v>18.566644556850392</v>
      </c>
    </row>
    <row r="72" ht="15">
      <c r="A72" s="56" t="s">
        <v>100</v>
      </c>
      <c r="B72" s="56"/>
      <c r="C72" s="56"/>
      <c r="D72" s="56"/>
      <c r="E72" s="56"/>
      <c r="F72" s="56"/>
      <c r="G72" s="56"/>
    </row>
    <row r="73" ht="15">
      <c r="A73" s="56"/>
      <c r="B73" s="56"/>
      <c r="C73" s="56"/>
      <c r="D73" s="56"/>
      <c r="E73" s="56"/>
      <c r="F73" s="56"/>
      <c r="G73" s="56"/>
    </row>
    <row r="74" ht="15.75">
      <c r="A74" s="57" t="s">
        <v>101</v>
      </c>
      <c r="B74" s="57" t="s">
        <v>102</v>
      </c>
      <c r="C74" s="57" t="s">
        <v>103</v>
      </c>
      <c r="D74" s="57" t="s">
        <v>104</v>
      </c>
      <c r="E74" s="57" t="s">
        <v>105</v>
      </c>
      <c r="F74" s="57" t="s">
        <v>106</v>
      </c>
      <c r="G74" s="57" t="s">
        <v>7</v>
      </c>
    </row>
    <row r="75" ht="15.75">
      <c r="A75" s="58"/>
      <c r="B75" s="58" t="s">
        <v>107</v>
      </c>
      <c r="C75" s="59">
        <v>253.26511815999999</v>
      </c>
      <c r="D75" s="60">
        <v>288.16065399999997</v>
      </c>
      <c r="E75" s="60">
        <v>239.29588227000048</v>
      </c>
      <c r="F75" s="60">
        <v>139.05988881472979</v>
      </c>
      <c r="G75" s="59">
        <f>SUM(C75:F75)</f>
        <v>919.78154324473019</v>
      </c>
    </row>
    <row r="76" ht="15.75">
      <c r="A76" s="61" t="s">
        <v>108</v>
      </c>
      <c r="B76" s="62" t="s">
        <v>109</v>
      </c>
      <c r="C76" s="63">
        <v>191.26511815999999</v>
      </c>
      <c r="D76" s="64">
        <v>288.16065399999997</v>
      </c>
      <c r="E76" s="64">
        <v>239.29588227000048</v>
      </c>
      <c r="F76" s="64">
        <v>139.05988881472979</v>
      </c>
      <c r="G76" s="59" t="e">
        <f>#N/A</f>
        <v>#N/A</v>
      </c>
    </row>
    <row r="77" ht="15.75">
      <c r="A77" s="61" t="s">
        <v>110</v>
      </c>
      <c r="B77" s="62" t="s">
        <v>111</v>
      </c>
      <c r="C77" s="63">
        <v>1.6988399999999999</v>
      </c>
      <c r="D77" s="65">
        <v>0</v>
      </c>
      <c r="E77" s="65">
        <v>0</v>
      </c>
      <c r="F77" s="65">
        <v>0</v>
      </c>
      <c r="G77" s="59" t="e">
        <f>#N/A</f>
        <v>#N/A</v>
      </c>
    </row>
    <row r="78" ht="31.5">
      <c r="A78" s="61" t="s">
        <v>112</v>
      </c>
      <c r="B78" s="66" t="s">
        <v>113</v>
      </c>
      <c r="C78" s="67"/>
      <c r="D78" s="65"/>
      <c r="E78" s="65"/>
      <c r="F78" s="65"/>
      <c r="G78" s="59" t="e">
        <f>#N/A</f>
        <v>#N/A</v>
      </c>
    </row>
    <row r="79" ht="15.75">
      <c r="A79" s="61" t="s">
        <v>114</v>
      </c>
      <c r="B79" s="62" t="s">
        <v>115</v>
      </c>
      <c r="C79" s="63"/>
      <c r="D79" s="65">
        <v>0</v>
      </c>
      <c r="E79" s="65">
        <v>0</v>
      </c>
      <c r="F79" s="65">
        <v>0</v>
      </c>
      <c r="G79" s="59" t="e">
        <f>#N/A</f>
        <v>#N/A</v>
      </c>
    </row>
    <row r="80" ht="15.75">
      <c r="A80" s="61" t="s">
        <v>116</v>
      </c>
      <c r="B80" s="66" t="s">
        <v>117</v>
      </c>
      <c r="C80" s="67">
        <v>1.6988399999999999</v>
      </c>
      <c r="D80" s="65">
        <v>0</v>
      </c>
      <c r="E80" s="65">
        <v>0</v>
      </c>
      <c r="F80" s="65">
        <v>0</v>
      </c>
      <c r="G80" s="59" t="e">
        <f>#N/A</f>
        <v>#N/A</v>
      </c>
    </row>
    <row r="81" ht="15.75">
      <c r="A81" s="61" t="s">
        <v>118</v>
      </c>
      <c r="B81" s="62" t="s">
        <v>119</v>
      </c>
      <c r="C81" s="63"/>
      <c r="D81" s="65">
        <v>0</v>
      </c>
      <c r="E81" s="65">
        <v>0</v>
      </c>
      <c r="F81" s="65">
        <v>0</v>
      </c>
      <c r="G81" s="59" t="e">
        <f>#N/A</f>
        <v>#N/A</v>
      </c>
    </row>
    <row r="82" ht="15.75">
      <c r="A82" s="61"/>
      <c r="B82" s="68" t="s">
        <v>120</v>
      </c>
      <c r="C82" s="69"/>
      <c r="D82" s="65">
        <v>0</v>
      </c>
      <c r="E82" s="65">
        <v>0</v>
      </c>
      <c r="F82" s="65">
        <v>0</v>
      </c>
      <c r="G82" s="59" t="e">
        <f>#N/A</f>
        <v>#N/A</v>
      </c>
    </row>
    <row r="83" ht="15.75">
      <c r="A83" s="61" t="s">
        <v>121</v>
      </c>
      <c r="B83" s="62" t="s">
        <v>122</v>
      </c>
      <c r="C83" s="63">
        <v>1.6988399999999999</v>
      </c>
      <c r="D83" s="65">
        <v>0</v>
      </c>
      <c r="E83" s="65">
        <v>0</v>
      </c>
      <c r="F83" s="65">
        <v>0</v>
      </c>
      <c r="G83" s="59" t="e">
        <f>#N/A</f>
        <v>#N/A</v>
      </c>
    </row>
    <row r="84" ht="15.75">
      <c r="A84" s="61"/>
      <c r="B84" s="68" t="s">
        <v>120</v>
      </c>
      <c r="C84" s="70"/>
      <c r="D84" s="65">
        <v>0</v>
      </c>
      <c r="E84" s="65">
        <v>0</v>
      </c>
      <c r="F84" s="65">
        <v>0</v>
      </c>
      <c r="G84" s="59" t="e">
        <f>#N/A</f>
        <v>#N/A</v>
      </c>
    </row>
    <row r="85" ht="15.75">
      <c r="A85" s="61" t="s">
        <v>123</v>
      </c>
      <c r="B85" s="62" t="s">
        <v>124</v>
      </c>
      <c r="C85" s="63"/>
      <c r="D85" s="65">
        <v>0</v>
      </c>
      <c r="E85" s="65">
        <v>0</v>
      </c>
      <c r="F85" s="65">
        <v>0</v>
      </c>
      <c r="G85" s="59" t="e">
        <f>#N/A</f>
        <v>#N/A</v>
      </c>
    </row>
    <row r="86" ht="15.75">
      <c r="A86" s="61" t="s">
        <v>125</v>
      </c>
      <c r="B86" s="62" t="s">
        <v>126</v>
      </c>
      <c r="C86" s="69">
        <v>146.50517983050847</v>
      </c>
      <c r="D86" s="65">
        <v>210.55183895000002</v>
      </c>
      <c r="E86" s="65">
        <v>202.79312056779702</v>
      </c>
      <c r="F86" s="65">
        <v>117.84736340231338</v>
      </c>
      <c r="G86" s="59" t="e">
        <f>#N/A</f>
        <v>#N/A</v>
      </c>
    </row>
    <row r="87" ht="31.5">
      <c r="A87" s="61" t="s">
        <v>127</v>
      </c>
      <c r="B87" s="66" t="s">
        <v>128</v>
      </c>
      <c r="C87" s="67"/>
      <c r="D87" s="65">
        <v>0</v>
      </c>
      <c r="E87" s="65">
        <v>0</v>
      </c>
      <c r="F87" s="65">
        <v>0</v>
      </c>
      <c r="G87" s="59" t="e">
        <f>#N/A</f>
        <v>#N/A</v>
      </c>
    </row>
    <row r="88" ht="15.75">
      <c r="A88" s="61" t="s">
        <v>129</v>
      </c>
      <c r="B88" s="62" t="s">
        <v>130</v>
      </c>
      <c r="C88" s="63">
        <v>146.50517983050847</v>
      </c>
      <c r="D88" s="65">
        <v>210.55183895000002</v>
      </c>
      <c r="E88" s="65">
        <v>202.79312056779702</v>
      </c>
      <c r="F88" s="65">
        <v>117.84736340231338</v>
      </c>
      <c r="G88" s="59" t="e">
        <f>#N/A</f>
        <v>#N/A</v>
      </c>
    </row>
    <row r="89" ht="15.75">
      <c r="A89" s="61" t="s">
        <v>131</v>
      </c>
      <c r="B89" s="62" t="s">
        <v>132</v>
      </c>
      <c r="C89" s="70"/>
      <c r="D89" s="65">
        <v>0</v>
      </c>
      <c r="E89" s="65">
        <v>0</v>
      </c>
      <c r="F89" s="65">
        <v>0</v>
      </c>
      <c r="G89" s="59" t="e">
        <f>#N/A</f>
        <v>#N/A</v>
      </c>
    </row>
    <row r="90" ht="15.75">
      <c r="A90" s="61" t="s">
        <v>133</v>
      </c>
      <c r="B90" s="62" t="s">
        <v>134</v>
      </c>
      <c r="C90" s="63">
        <v>29.176034973559322</v>
      </c>
      <c r="D90" s="64">
        <v>43.956709932203388</v>
      </c>
      <c r="E90" s="64">
        <v>36.502761702203465</v>
      </c>
      <c r="F90" s="64">
        <v>21.212525412416408</v>
      </c>
      <c r="G90" s="59" t="e">
        <f>#N/A</f>
        <v>#N/A</v>
      </c>
    </row>
    <row r="91" ht="15.75">
      <c r="A91" s="61" t="s">
        <v>135</v>
      </c>
      <c r="B91" s="62" t="s">
        <v>136</v>
      </c>
      <c r="C91" s="63">
        <v>13.8850633559322</v>
      </c>
      <c r="D91" s="64">
        <v>33.65210511779658</v>
      </c>
      <c r="E91" s="64">
        <v>0</v>
      </c>
      <c r="F91" s="64">
        <v>0</v>
      </c>
      <c r="G91" s="59" t="e">
        <f>#N/A</f>
        <v>#N/A</v>
      </c>
    </row>
    <row r="92" ht="15.75">
      <c r="A92" s="61" t="s">
        <v>137</v>
      </c>
      <c r="B92" s="62" t="s">
        <v>138</v>
      </c>
      <c r="C92" s="63"/>
      <c r="D92" s="64">
        <v>0</v>
      </c>
      <c r="E92" s="64">
        <v>0</v>
      </c>
      <c r="F92" s="64">
        <v>0</v>
      </c>
      <c r="G92" s="59" t="e">
        <f>#N/A</f>
        <v>#N/A</v>
      </c>
    </row>
    <row r="93" ht="15.75">
      <c r="A93" s="61" t="s">
        <v>139</v>
      </c>
      <c r="B93" s="62" t="s">
        <v>140</v>
      </c>
      <c r="C93" s="63"/>
      <c r="D93" s="65">
        <v>0</v>
      </c>
      <c r="E93" s="65">
        <v>0</v>
      </c>
      <c r="F93" s="65">
        <v>0</v>
      </c>
      <c r="G93" s="59" t="e">
        <f>#N/A</f>
        <v>#N/A</v>
      </c>
    </row>
    <row r="94" ht="15.75">
      <c r="A94" s="61" t="s">
        <v>141</v>
      </c>
      <c r="B94" s="62" t="s">
        <v>142</v>
      </c>
      <c r="C94" s="62">
        <v>62</v>
      </c>
      <c r="D94" s="65">
        <v>0</v>
      </c>
      <c r="E94" s="65">
        <v>0</v>
      </c>
      <c r="F94" s="65">
        <v>0</v>
      </c>
      <c r="G94" s="59" t="e">
        <f>#N/A</f>
        <v>#N/A</v>
      </c>
    </row>
    <row r="95" ht="15.75">
      <c r="A95" s="61" t="s">
        <v>143</v>
      </c>
      <c r="B95" s="62" t="s">
        <v>144</v>
      </c>
      <c r="C95" s="62">
        <v>62</v>
      </c>
      <c r="D95" s="65"/>
      <c r="E95" s="65">
        <v>0</v>
      </c>
      <c r="F95" s="65">
        <v>0</v>
      </c>
      <c r="G95" s="59" t="e">
        <f>#N/A</f>
        <v>#N/A</v>
      </c>
    </row>
    <row r="96" ht="15.75">
      <c r="A96" s="61" t="s">
        <v>145</v>
      </c>
      <c r="B96" s="62" t="s">
        <v>146</v>
      </c>
      <c r="C96" s="62"/>
      <c r="D96" s="71">
        <v>0</v>
      </c>
      <c r="E96" s="71">
        <v>0</v>
      </c>
      <c r="F96" s="71">
        <v>0</v>
      </c>
      <c r="G96" s="59" t="e">
        <f>#N/A</f>
        <v>#N/A</v>
      </c>
    </row>
    <row r="97" ht="15.75">
      <c r="A97" s="61" t="s">
        <v>147</v>
      </c>
      <c r="B97" s="62" t="s">
        <v>148</v>
      </c>
      <c r="C97" s="62"/>
      <c r="D97" s="71">
        <v>0</v>
      </c>
      <c r="E97" s="71">
        <v>0</v>
      </c>
      <c r="F97" s="71">
        <v>0</v>
      </c>
      <c r="G97" s="59" t="e">
        <f>#N/A</f>
        <v>#N/A</v>
      </c>
    </row>
    <row r="98" ht="15.75">
      <c r="A98" s="61" t="s">
        <v>149</v>
      </c>
      <c r="B98" s="62" t="s">
        <v>150</v>
      </c>
      <c r="C98" s="62"/>
      <c r="D98" s="71">
        <v>0</v>
      </c>
      <c r="E98" s="71">
        <v>0</v>
      </c>
      <c r="F98" s="71">
        <v>0</v>
      </c>
      <c r="G98" s="59" t="e">
        <f>#N/A</f>
        <v>#N/A</v>
      </c>
    </row>
    <row r="99" ht="15.75">
      <c r="A99" s="61"/>
      <c r="B99" s="62" t="s">
        <v>151</v>
      </c>
      <c r="C99" s="62"/>
      <c r="D99" s="71">
        <v>0</v>
      </c>
      <c r="E99" s="71">
        <v>0</v>
      </c>
      <c r="F99" s="71">
        <v>0</v>
      </c>
      <c r="G99" s="59" t="e">
        <f>#N/A</f>
        <v>#N/A</v>
      </c>
    </row>
    <row r="100" ht="15.75">
      <c r="A100" s="61"/>
      <c r="B100" s="66" t="s">
        <v>152</v>
      </c>
      <c r="C100" s="66"/>
      <c r="D100" s="71">
        <v>0</v>
      </c>
      <c r="E100" s="71">
        <v>0</v>
      </c>
      <c r="F100" s="71">
        <v>0</v>
      </c>
      <c r="G100" s="59" t="e">
        <f>#N/A</f>
        <v>#N/A</v>
      </c>
    </row>
    <row r="101" ht="15.75">
      <c r="A101" s="61"/>
      <c r="B101" s="66" t="s">
        <v>153</v>
      </c>
      <c r="C101" s="66"/>
      <c r="D101" s="71">
        <v>0</v>
      </c>
      <c r="E101" s="71">
        <v>0</v>
      </c>
      <c r="F101" s="71">
        <v>0</v>
      </c>
      <c r="G101" s="59" t="e">
        <f>#N/A</f>
        <v>#N/A</v>
      </c>
    </row>
    <row r="102" ht="31.5">
      <c r="A102" s="61"/>
      <c r="B102" s="66" t="s">
        <v>154</v>
      </c>
      <c r="C102" s="66"/>
      <c r="D102" s="71">
        <v>0</v>
      </c>
      <c r="E102" s="71">
        <v>0</v>
      </c>
      <c r="F102" s="71">
        <v>0</v>
      </c>
      <c r="G102" s="59" t="e">
        <f>#N/A</f>
        <v>#N/A</v>
      </c>
    </row>
    <row r="103" ht="15.75">
      <c r="A103" s="61" t="s">
        <v>155</v>
      </c>
      <c r="B103" s="62" t="s">
        <v>156</v>
      </c>
      <c r="C103" s="62"/>
      <c r="D103" s="71">
        <v>0</v>
      </c>
      <c r="E103" s="71">
        <v>0</v>
      </c>
      <c r="F103" s="71">
        <v>0</v>
      </c>
      <c r="G103" s="59" t="e">
        <f>#N/A</f>
        <v>#N/A</v>
      </c>
    </row>
    <row r="104" ht="15.75">
      <c r="A104" s="61" t="s">
        <v>157</v>
      </c>
      <c r="B104" s="62" t="s">
        <v>158</v>
      </c>
      <c r="C104" s="62"/>
      <c r="D104" s="71">
        <v>0</v>
      </c>
      <c r="E104" s="71">
        <v>0</v>
      </c>
      <c r="F104" s="71">
        <v>0</v>
      </c>
      <c r="G104" s="59" t="e">
        <f>#N/A</f>
        <v>#N/A</v>
      </c>
    </row>
    <row r="105" ht="15.75">
      <c r="A105" s="61" t="s">
        <v>159</v>
      </c>
      <c r="B105" s="62" t="s">
        <v>160</v>
      </c>
      <c r="C105" s="62"/>
      <c r="D105" s="71">
        <v>0</v>
      </c>
      <c r="E105" s="71">
        <v>0</v>
      </c>
      <c r="F105" s="71">
        <v>0</v>
      </c>
      <c r="G105" s="59" t="e">
        <f>#N/A</f>
        <v>#N/A</v>
      </c>
    </row>
    <row r="106" ht="31.5">
      <c r="A106" s="72"/>
      <c r="B106" s="73" t="s">
        <v>161</v>
      </c>
      <c r="C106" s="73"/>
      <c r="D106" s="74">
        <v>0</v>
      </c>
      <c r="E106" s="74">
        <v>0</v>
      </c>
      <c r="F106" s="74">
        <v>0</v>
      </c>
      <c r="G106" s="59" t="e">
        <f>#N/A</f>
        <v>#N/A</v>
      </c>
    </row>
    <row r="107" ht="15.75">
      <c r="A107" s="72"/>
      <c r="B107" s="75" t="s">
        <v>162</v>
      </c>
      <c r="C107" s="75"/>
      <c r="D107" s="71" t="s">
        <v>66</v>
      </c>
      <c r="E107" s="71" t="s">
        <v>66</v>
      </c>
      <c r="F107" s="71" t="s">
        <v>66</v>
      </c>
      <c r="G107" s="59" t="e">
        <f>#N/A</f>
        <v>#N/A</v>
      </c>
    </row>
    <row r="108" ht="15.75">
      <c r="A108" s="72"/>
      <c r="B108" s="75" t="s">
        <v>163</v>
      </c>
      <c r="C108" s="75"/>
      <c r="D108" s="71" t="s">
        <v>66</v>
      </c>
      <c r="E108" s="71" t="s">
        <v>66</v>
      </c>
      <c r="F108" s="71" t="s">
        <v>66</v>
      </c>
      <c r="G108" s="59" t="e">
        <f>#N/A</f>
        <v>#N/A</v>
      </c>
    </row>
    <row r="109" ht="15.75">
      <c r="A109" s="72"/>
      <c r="B109" s="75" t="s">
        <v>164</v>
      </c>
      <c r="C109" s="75"/>
      <c r="D109" s="71" t="s">
        <v>66</v>
      </c>
      <c r="E109" s="71" t="s">
        <v>66</v>
      </c>
      <c r="F109" s="71" t="s">
        <v>66</v>
      </c>
      <c r="G109" s="71" t="s">
        <v>66</v>
      </c>
    </row>
    <row r="110" ht="15.75">
      <c r="A110" s="76"/>
      <c r="B110" s="77"/>
      <c r="C110" s="77"/>
      <c r="D110" s="78"/>
      <c r="E110" s="78"/>
      <c r="F110" s="78"/>
      <c r="G110" s="78"/>
    </row>
    <row r="111" ht="15.75">
      <c r="A111" s="76"/>
      <c r="B111" s="77"/>
      <c r="C111" s="77"/>
      <c r="D111" s="78"/>
      <c r="E111" s="78"/>
      <c r="F111" s="78"/>
      <c r="G111" s="78"/>
    </row>
    <row r="112" ht="15.75">
      <c r="A112" s="79" t="s">
        <v>165</v>
      </c>
      <c r="B112" s="80"/>
      <c r="C112" s="81"/>
      <c r="D112" s="81"/>
      <c r="E112" s="81"/>
      <c r="F112" s="81"/>
      <c r="G112" s="78"/>
    </row>
    <row r="113" ht="15.75">
      <c r="A113" s="82" t="s">
        <v>166</v>
      </c>
      <c r="B113" s="83" t="s">
        <v>167</v>
      </c>
      <c r="C113" s="84"/>
      <c r="D113" s="84">
        <f>D86*0.17999999999999999</f>
        <v>37.899331011000001</v>
      </c>
      <c r="E113" s="84">
        <f>E86*0.17999999999999999</f>
        <v>36.502761702203465</v>
      </c>
      <c r="F113" s="84">
        <f>F86*0.17999999999999999</f>
        <v>21.212525412416408</v>
      </c>
      <c r="G113" s="84" t="e">
        <f>G86*0.17999999999999999</f>
        <v>#N/A</v>
      </c>
    </row>
    <row r="114" ht="15.75">
      <c r="A114" s="82" t="s">
        <v>168</v>
      </c>
      <c r="B114" s="83" t="s">
        <v>169</v>
      </c>
      <c r="C114" s="84"/>
      <c r="D114" s="84">
        <v>0</v>
      </c>
      <c r="E114" s="84">
        <v>0</v>
      </c>
      <c r="F114" s="84">
        <v>0</v>
      </c>
      <c r="G114" s="84" t="e">
        <f>G78*0.17999999999999999</f>
        <v>#N/A</v>
      </c>
    </row>
    <row r="115" ht="15.75">
      <c r="A115" s="82" t="s">
        <v>170</v>
      </c>
      <c r="B115" s="83" t="s">
        <v>171</v>
      </c>
      <c r="C115" s="84"/>
      <c r="D115" s="84">
        <v>0</v>
      </c>
      <c r="E115" s="84">
        <v>0</v>
      </c>
      <c r="F115" s="84">
        <v>0</v>
      </c>
      <c r="G115" s="84">
        <v>0</v>
      </c>
    </row>
    <row r="116" ht="15.75">
      <c r="A116" s="82" t="s">
        <v>172</v>
      </c>
      <c r="B116" s="83" t="s">
        <v>173</v>
      </c>
      <c r="C116" s="84"/>
      <c r="D116" s="84">
        <f>D91*0.17999999999999999</f>
        <v>6.0573789212033846</v>
      </c>
      <c r="E116" s="84">
        <f>E91*0.17999999999999999</f>
        <v>0</v>
      </c>
      <c r="F116" s="84">
        <f>F91*0.17999999999999999</f>
        <v>0</v>
      </c>
      <c r="G116" s="84" t="e">
        <f>G91*0.17999999999999999</f>
        <v>#N/A</v>
      </c>
    </row>
    <row r="117" ht="15.75">
      <c r="A117" s="76"/>
      <c r="B117" s="77"/>
      <c r="C117" s="77"/>
      <c r="D117" s="78"/>
      <c r="E117" s="78"/>
      <c r="F117" s="78"/>
      <c r="G117" s="78"/>
    </row>
    <row r="118" ht="15.75">
      <c r="A118" s="79" t="s">
        <v>174</v>
      </c>
      <c r="B118" s="80"/>
      <c r="C118" s="81"/>
      <c r="D118" s="81"/>
      <c r="E118" s="81"/>
      <c r="F118" s="81"/>
      <c r="G118" s="78"/>
    </row>
    <row r="119" ht="15.75">
      <c r="A119" s="82" t="s">
        <v>175</v>
      </c>
      <c r="B119" s="83" t="s">
        <v>176</v>
      </c>
      <c r="C119" s="84">
        <v>13.8850633559322</v>
      </c>
      <c r="D119" s="85">
        <v>24.843750203389803</v>
      </c>
      <c r="E119" s="85">
        <v>0</v>
      </c>
      <c r="F119" s="85"/>
      <c r="G119" s="85">
        <f>SUM(C119:F119)</f>
        <v>38.728813559322006</v>
      </c>
    </row>
    <row r="120" ht="15.75">
      <c r="A120" s="82" t="s">
        <v>177</v>
      </c>
      <c r="B120" s="83" t="s">
        <v>178</v>
      </c>
      <c r="C120" s="84"/>
      <c r="D120" s="85">
        <v>8.808354914406781</v>
      </c>
      <c r="E120" s="85">
        <v>0</v>
      </c>
      <c r="F120" s="85"/>
      <c r="G120" s="85">
        <f>SUM(D120:F120)</f>
        <v>8.808354914406781</v>
      </c>
    </row>
    <row r="121" ht="15">
      <c r="A121" s="2"/>
      <c r="B121" s="2"/>
      <c r="C121" s="2"/>
      <c r="D121" s="2"/>
      <c r="E121" s="2"/>
      <c r="F121" s="2"/>
      <c r="G121" s="2"/>
    </row>
    <row r="122" ht="15.75">
      <c r="A122" s="56" t="s">
        <v>179</v>
      </c>
      <c r="B122" s="56"/>
      <c r="C122" s="56"/>
      <c r="D122" s="56"/>
      <c r="E122" s="56"/>
      <c r="F122" s="56"/>
      <c r="G122" s="56"/>
      <c r="H122" s="1"/>
      <c r="I122" s="1"/>
      <c r="J122" s="1"/>
      <c r="K122" s="1"/>
      <c r="L122" s="1"/>
    </row>
    <row r="123" ht="15.75">
      <c r="A123" s="56"/>
      <c r="B123" s="56"/>
      <c r="C123" s="56"/>
      <c r="D123" s="56"/>
      <c r="E123" s="56"/>
      <c r="F123" s="56"/>
      <c r="G123" s="56"/>
      <c r="H123" s="1"/>
      <c r="I123" s="1"/>
      <c r="J123" s="1"/>
      <c r="K123" s="1"/>
      <c r="L123" s="1"/>
    </row>
    <row r="124" ht="15.75">
      <c r="A124" s="62"/>
      <c r="B124" s="43"/>
      <c r="C124" s="86">
        <v>2016</v>
      </c>
      <c r="D124" s="86">
        <v>2017</v>
      </c>
      <c r="E124" s="86">
        <v>2018</v>
      </c>
      <c r="F124" s="86">
        <v>2019</v>
      </c>
      <c r="G124" s="6" t="s">
        <v>7</v>
      </c>
    </row>
    <row r="125" ht="15.75">
      <c r="A125" s="62"/>
      <c r="B125" s="43" t="s">
        <v>180</v>
      </c>
      <c r="C125" s="87">
        <v>1246.9565924540814</v>
      </c>
      <c r="D125" s="87">
        <v>1333.3745107684242</v>
      </c>
      <c r="E125" s="87">
        <v>1343.8637412115788</v>
      </c>
      <c r="F125" s="87">
        <v>1397.9603197206134</v>
      </c>
      <c r="G125" s="88">
        <f t="shared" ref="G125:G126" si="0">SUM(C125:F125)</f>
        <v>5322.1551641546976</v>
      </c>
    </row>
    <row r="126" ht="15.75">
      <c r="A126" s="62"/>
      <c r="B126" s="89" t="s">
        <v>181</v>
      </c>
      <c r="C126" s="90">
        <v>1180.9764331568813</v>
      </c>
      <c r="D126" s="90">
        <v>1260.9037833719867</v>
      </c>
      <c r="E126" s="90">
        <v>1294.3366197039372</v>
      </c>
      <c r="F126" s="90">
        <v>1345.7112672736771</v>
      </c>
      <c r="G126" s="88">
        <f t="shared" si="0"/>
        <v>5081.9281035064823</v>
      </c>
    </row>
    <row r="127" ht="15.75">
      <c r="A127" s="62"/>
      <c r="B127" s="89" t="s">
        <v>182</v>
      </c>
      <c r="C127" s="90">
        <v>65.98015929719999</v>
      </c>
      <c r="D127" s="90">
        <v>72.470727396437596</v>
      </c>
      <c r="E127" s="90">
        <v>49.527121507641652</v>
      </c>
      <c r="F127" s="90">
        <v>52.249052446936354</v>
      </c>
      <c r="G127" s="88" t="e">
        <f>#N/A</f>
        <v>#N/A</v>
      </c>
    </row>
    <row r="128" ht="15.75">
      <c r="A128" s="62"/>
      <c r="B128" s="89" t="s">
        <v>183</v>
      </c>
      <c r="C128" s="90"/>
      <c r="D128" s="90"/>
      <c r="E128" s="90"/>
      <c r="F128" s="90"/>
      <c r="G128" s="88" t="e">
        <f>#N/A</f>
        <v>#N/A</v>
      </c>
    </row>
    <row r="129" ht="15.75">
      <c r="A129" s="62"/>
      <c r="B129" s="89" t="s">
        <v>184</v>
      </c>
      <c r="C129" s="91"/>
      <c r="D129" s="91"/>
      <c r="E129" s="91"/>
      <c r="F129" s="92"/>
      <c r="G129" s="88" t="e">
        <f>#N/A</f>
        <v>#N/A</v>
      </c>
    </row>
    <row r="130" ht="15.75">
      <c r="A130" s="62"/>
      <c r="B130" s="89" t="s">
        <v>185</v>
      </c>
      <c r="C130" s="90"/>
      <c r="D130" s="90"/>
      <c r="E130" s="90"/>
      <c r="F130" s="90"/>
      <c r="G130" s="88" t="e">
        <f>#N/A</f>
        <v>#N/A</v>
      </c>
    </row>
    <row r="131" ht="15.75">
      <c r="A131" s="62"/>
      <c r="B131" s="43" t="s">
        <v>186</v>
      </c>
      <c r="C131" s="87">
        <v>1501.6874000000003</v>
      </c>
      <c r="D131" s="87">
        <v>1603.0116999999998</v>
      </c>
      <c r="E131" s="87">
        <v>1617.2438</v>
      </c>
      <c r="F131" s="87">
        <v>1657.3319999999999</v>
      </c>
      <c r="G131" s="88" t="e">
        <f>#N/A</f>
        <v>#N/A</v>
      </c>
    </row>
    <row r="132" ht="15.75">
      <c r="A132" s="62"/>
      <c r="B132" s="93" t="s">
        <v>187</v>
      </c>
      <c r="C132" s="92">
        <v>1501.6874000000003</v>
      </c>
      <c r="D132" s="92">
        <v>1603.0116999999998</v>
      </c>
      <c r="E132" s="92">
        <v>1617.2438</v>
      </c>
      <c r="F132" s="92">
        <v>1657.3319999999999</v>
      </c>
      <c r="G132" s="88" t="e">
        <f>#N/A</f>
        <v>#N/A</v>
      </c>
    </row>
    <row r="133" ht="15.75">
      <c r="A133" s="62"/>
      <c r="B133" s="89" t="s">
        <v>181</v>
      </c>
      <c r="C133" s="90">
        <v>1501.6874000000003</v>
      </c>
      <c r="D133" s="90">
        <v>1603.0116999999998</v>
      </c>
      <c r="E133" s="90">
        <v>1617.2438</v>
      </c>
      <c r="F133" s="90">
        <v>1657.3319999999999</v>
      </c>
      <c r="G133" s="88" t="e">
        <f>#N/A</f>
        <v>#N/A</v>
      </c>
    </row>
    <row r="134" ht="15.75">
      <c r="A134" s="62"/>
      <c r="B134" s="89" t="s">
        <v>182</v>
      </c>
      <c r="C134" s="90">
        <v>0</v>
      </c>
      <c r="D134" s="90">
        <v>0</v>
      </c>
      <c r="E134" s="90">
        <v>0</v>
      </c>
      <c r="F134" s="90">
        <v>0</v>
      </c>
      <c r="G134" s="88" t="e">
        <f>#N/A</f>
        <v>#N/A</v>
      </c>
    </row>
    <row r="135" ht="15.75">
      <c r="A135" s="62"/>
      <c r="B135" s="89" t="s">
        <v>183</v>
      </c>
      <c r="C135" s="90"/>
      <c r="D135" s="90"/>
      <c r="E135" s="90"/>
      <c r="F135" s="90"/>
      <c r="G135" s="88" t="e">
        <f>#N/A</f>
        <v>#N/A</v>
      </c>
    </row>
    <row r="136" ht="15.75">
      <c r="A136" s="62"/>
      <c r="B136" s="89" t="s">
        <v>184</v>
      </c>
      <c r="C136" s="91"/>
      <c r="D136" s="91"/>
      <c r="E136" s="91"/>
      <c r="F136" s="92"/>
      <c r="G136" s="88" t="e">
        <f>#N/A</f>
        <v>#N/A</v>
      </c>
    </row>
    <row r="137" ht="15.75">
      <c r="A137" s="62"/>
      <c r="B137" s="89" t="s">
        <v>185</v>
      </c>
      <c r="C137" s="90"/>
      <c r="D137" s="90"/>
      <c r="E137" s="90"/>
      <c r="F137" s="90"/>
      <c r="G137" s="88" t="e">
        <f>#N/A</f>
        <v>#N/A</v>
      </c>
    </row>
    <row r="138" ht="15.75">
      <c r="A138" s="62"/>
      <c r="B138" s="93" t="s">
        <v>188</v>
      </c>
      <c r="C138" s="92">
        <v>0</v>
      </c>
      <c r="D138" s="92">
        <v>0</v>
      </c>
      <c r="E138" s="92">
        <v>0</v>
      </c>
      <c r="F138" s="92">
        <v>0</v>
      </c>
      <c r="G138" s="88" t="e">
        <f>#N/A</f>
        <v>#N/A</v>
      </c>
    </row>
    <row r="139" ht="15.75">
      <c r="A139" s="62"/>
      <c r="B139" s="43" t="s">
        <v>189</v>
      </c>
      <c r="C139" s="90">
        <v>-254.73080754591888</v>
      </c>
      <c r="D139" s="94">
        <v>-269.63718923157558</v>
      </c>
      <c r="E139" s="94">
        <v>-273.38005878842114</v>
      </c>
      <c r="F139" s="94">
        <v>-259.37168027938651</v>
      </c>
      <c r="G139" s="88" t="e">
        <f>#N/A</f>
        <v>#N/A</v>
      </c>
    </row>
    <row r="140" ht="15.75">
      <c r="A140" s="62"/>
      <c r="B140" s="43" t="s">
        <v>190</v>
      </c>
      <c r="C140" s="90">
        <v>253.47853612210002</v>
      </c>
      <c r="D140" s="94">
        <v>298.69440072895054</v>
      </c>
      <c r="E140" s="94">
        <v>343.39307794321775</v>
      </c>
      <c r="F140" s="94">
        <v>372.35159082009477</v>
      </c>
      <c r="G140" s="88" t="e">
        <f>#N/A</f>
        <v>#N/A</v>
      </c>
    </row>
    <row r="141" ht="15.75">
      <c r="A141" s="62"/>
      <c r="B141" s="43" t="s">
        <v>191</v>
      </c>
      <c r="C141" s="90">
        <v>31.952114379999998</v>
      </c>
      <c r="D141" s="94">
        <v>24.37875</v>
      </c>
      <c r="E141" s="94">
        <v>21.532499999999999</v>
      </c>
      <c r="F141" s="94">
        <v>14.72625</v>
      </c>
      <c r="G141" s="88" t="e">
        <f>#N/A</f>
        <v>#N/A</v>
      </c>
    </row>
    <row r="142" ht="15.75">
      <c r="A142" s="62"/>
      <c r="B142" s="43" t="s">
        <v>51</v>
      </c>
      <c r="C142" s="90">
        <v>0</v>
      </c>
      <c r="D142" s="94">
        <v>5.8114422994749937</v>
      </c>
      <c r="E142" s="94">
        <v>14.002603830959323</v>
      </c>
      <c r="F142" s="94">
        <v>22.595982108141655</v>
      </c>
      <c r="G142" s="88" t="e">
        <f>#N/A</f>
        <v>#N/A</v>
      </c>
    </row>
    <row r="143" ht="15.75">
      <c r="A143" s="62"/>
      <c r="B143" s="43" t="s">
        <v>192</v>
      </c>
      <c r="C143" s="87">
        <v>-1.2522714238188541</v>
      </c>
      <c r="D143" s="95">
        <v>23.245769197899971</v>
      </c>
      <c r="E143" s="95">
        <v>56.010415323837286</v>
      </c>
      <c r="F143" s="95">
        <v>90.383928432566606</v>
      </c>
      <c r="G143" s="88">
        <f>SUM(C143:F143)</f>
        <v>168.38784153048499</v>
      </c>
    </row>
    <row r="144" ht="15.75">
      <c r="A144" s="62"/>
      <c r="B144" s="43" t="s">
        <v>193</v>
      </c>
      <c r="C144" s="96"/>
      <c r="D144" s="97"/>
      <c r="E144" s="97"/>
      <c r="F144" s="97"/>
      <c r="G144" s="88" t="e">
        <f>#N/A</f>
        <v>#N/A</v>
      </c>
    </row>
    <row r="145" ht="47.25">
      <c r="A145" s="62"/>
      <c r="B145" s="98" t="s">
        <v>194</v>
      </c>
      <c r="C145" s="96"/>
      <c r="D145" s="99">
        <v>1915.909030155856</v>
      </c>
      <c r="E145" s="99">
        <v>1948.2591186732507</v>
      </c>
      <c r="F145" s="100">
        <v>2025.269242961283</v>
      </c>
      <c r="G145" s="101" t="e">
        <f>#N/A</f>
        <v>#N/A</v>
      </c>
      <c r="H145" s="102" t="s">
        <v>195</v>
      </c>
      <c r="J145" s="103">
        <f>D145/C125-1</f>
        <v>0.53646810301971959</v>
      </c>
      <c r="K145" s="103">
        <f>E145/D125-1</f>
        <v>0.46114921422224286</v>
      </c>
      <c r="L145" s="103">
        <f>F145/E125-1</f>
        <v>0.50704954740082031</v>
      </c>
      <c r="M145" s="103"/>
      <c r="N145" s="103"/>
    </row>
    <row r="146" ht="15.75">
      <c r="A146" s="62"/>
      <c r="B146" s="104" t="s">
        <v>196</v>
      </c>
      <c r="C146" s="105">
        <v>1724.034046882105</v>
      </c>
      <c r="D146" s="106">
        <v>1915.909030155856</v>
      </c>
      <c r="E146" s="106">
        <v>1948.2591186732507</v>
      </c>
      <c r="F146" s="107">
        <v>2025.269242961283</v>
      </c>
      <c r="G146" s="101" t="e">
        <f>#N/A</f>
        <v>#N/A</v>
      </c>
    </row>
    <row r="147" ht="15.75">
      <c r="A147" s="62"/>
      <c r="B147" s="108" t="s">
        <v>197</v>
      </c>
      <c r="C147" s="109">
        <v>1369.5431204114091</v>
      </c>
      <c r="D147" s="110">
        <v>1452.5588335572888</v>
      </c>
      <c r="E147" s="110">
        <v>1498.8977883816333</v>
      </c>
      <c r="F147" s="111">
        <v>1549.1141150911051</v>
      </c>
      <c r="G147" s="88" t="e">
        <f>#N/A</f>
        <v>#N/A</v>
      </c>
    </row>
    <row r="148" ht="15.75">
      <c r="A148" s="62"/>
      <c r="B148" s="108" t="s">
        <v>198</v>
      </c>
      <c r="C148" s="105">
        <v>77.856587970695998</v>
      </c>
      <c r="D148" s="94">
        <v>85.515458327796367</v>
      </c>
      <c r="E148" s="94">
        <v>58.442003379017152</v>
      </c>
      <c r="F148" s="112">
        <v>61.653881887384884</v>
      </c>
      <c r="G148" s="88" t="e">
        <f>#N/A</f>
        <v>#N/A</v>
      </c>
    </row>
    <row r="149" ht="15.75">
      <c r="A149" s="62"/>
      <c r="B149" s="113" t="s">
        <v>199</v>
      </c>
      <c r="C149" s="105">
        <v>276.63433850000013</v>
      </c>
      <c r="D149" s="94">
        <v>377.83473827077086</v>
      </c>
      <c r="E149" s="94">
        <v>390.91932691260001</v>
      </c>
      <c r="F149" s="112">
        <v>414.50124598279302</v>
      </c>
      <c r="G149" s="88" t="e">
        <f>#N/A</f>
        <v>#N/A</v>
      </c>
    </row>
    <row r="150" ht="15.75">
      <c r="A150" s="62"/>
      <c r="B150" s="108" t="s">
        <v>184</v>
      </c>
      <c r="C150" s="109">
        <v>0</v>
      </c>
      <c r="D150" s="110">
        <v>0</v>
      </c>
      <c r="E150" s="110">
        <v>0</v>
      </c>
      <c r="F150" s="111">
        <v>0</v>
      </c>
      <c r="G150" s="88" t="e">
        <f>#N/A</f>
        <v>#N/A</v>
      </c>
    </row>
    <row r="151" ht="15.75">
      <c r="A151" s="62"/>
      <c r="B151" s="114" t="s">
        <v>200</v>
      </c>
      <c r="C151" s="105">
        <v>295.22475850000012</v>
      </c>
      <c r="D151" s="94">
        <v>335.91862003077091</v>
      </c>
      <c r="E151" s="94">
        <v>378.42838</v>
      </c>
      <c r="F151" s="112">
        <v>401.32329699000002</v>
      </c>
      <c r="G151" s="88" t="e">
        <f>#N/A</f>
        <v>#N/A</v>
      </c>
    </row>
    <row r="152" ht="15.75">
      <c r="A152" s="62"/>
      <c r="B152" s="114" t="s">
        <v>201</v>
      </c>
      <c r="C152" s="105">
        <v>1623.4106802157148</v>
      </c>
      <c r="D152" s="94">
        <v>1630.193783011119</v>
      </c>
      <c r="E152" s="94">
        <v>1655.5192821354708</v>
      </c>
      <c r="F152" s="112">
        <v>1752.3612997969412</v>
      </c>
      <c r="G152" s="88" t="e">
        <f>#N/A</f>
        <v>#N/A</v>
      </c>
    </row>
    <row r="153" ht="15.75">
      <c r="A153" s="62"/>
      <c r="B153" s="115" t="s">
        <v>202</v>
      </c>
      <c r="C153" s="105">
        <v>1559.4716585315348</v>
      </c>
      <c r="D153" s="94">
        <v>1572.4652165853802</v>
      </c>
      <c r="E153" s="94">
        <v>1599.1191961778977</v>
      </c>
      <c r="F153" s="112">
        <v>1678.4381597491545</v>
      </c>
      <c r="G153" s="88" t="e">
        <f>#N/A</f>
        <v>#N/A</v>
      </c>
    </row>
    <row r="154" ht="15.75">
      <c r="A154" s="62"/>
      <c r="B154" s="114" t="s">
        <v>197</v>
      </c>
      <c r="C154" s="105">
        <v>1559.4716585315348</v>
      </c>
      <c r="D154" s="94">
        <v>1572.4652165853802</v>
      </c>
      <c r="E154" s="94">
        <v>1599.1191961778977</v>
      </c>
      <c r="F154" s="112">
        <v>1678.4381597491545</v>
      </c>
      <c r="G154" s="88" t="e">
        <f>#N/A</f>
        <v>#N/A</v>
      </c>
    </row>
    <row r="155" ht="15.75">
      <c r="A155" s="62"/>
      <c r="B155" s="108" t="s">
        <v>198</v>
      </c>
      <c r="C155" s="105">
        <v>0</v>
      </c>
      <c r="D155" s="94">
        <v>0</v>
      </c>
      <c r="E155" s="94">
        <v>0</v>
      </c>
      <c r="F155" s="110">
        <v>0</v>
      </c>
      <c r="G155" s="88" t="e">
        <f>#N/A</f>
        <v>#N/A</v>
      </c>
    </row>
    <row r="156" ht="15.75">
      <c r="A156" s="62"/>
      <c r="B156" s="108" t="s">
        <v>203</v>
      </c>
      <c r="C156" s="94"/>
      <c r="D156" s="94">
        <v>0</v>
      </c>
      <c r="E156" s="94">
        <v>0</v>
      </c>
      <c r="F156" s="112">
        <v>0</v>
      </c>
      <c r="G156" s="88" t="e">
        <f>#N/A</f>
        <v>#N/A</v>
      </c>
    </row>
    <row r="157" ht="15.75">
      <c r="A157" s="62"/>
      <c r="B157" s="108" t="s">
        <v>184</v>
      </c>
      <c r="C157" s="110"/>
      <c r="D157" s="110">
        <v>0</v>
      </c>
      <c r="E157" s="110">
        <v>0</v>
      </c>
      <c r="F157" s="111">
        <v>0</v>
      </c>
      <c r="G157" s="88" t="e">
        <f>#N/A</f>
        <v>#N/A</v>
      </c>
    </row>
    <row r="158" ht="15.75">
      <c r="A158" s="62"/>
      <c r="B158" s="108" t="s">
        <v>204</v>
      </c>
      <c r="C158" s="94">
        <v>63.939021684179998</v>
      </c>
      <c r="D158" s="94">
        <v>57.728566425738833</v>
      </c>
      <c r="E158" s="94">
        <v>56.40008595757309</v>
      </c>
      <c r="F158" s="112">
        <v>73.923140047786859</v>
      </c>
      <c r="G158" s="88" t="e">
        <f>#N/A</f>
        <v>#N/A</v>
      </c>
    </row>
    <row r="159" ht="16.5">
      <c r="A159" s="62"/>
      <c r="B159" s="116" t="s">
        <v>205</v>
      </c>
      <c r="C159" s="112">
        <v>0</v>
      </c>
      <c r="D159" s="112">
        <v>0</v>
      </c>
      <c r="E159" s="112">
        <v>0</v>
      </c>
      <c r="F159" s="112">
        <v>0</v>
      </c>
      <c r="G159" s="88" t="e">
        <f>#N/A</f>
        <v>#N/A</v>
      </c>
    </row>
    <row r="160" ht="15.75">
      <c r="A160" s="62"/>
      <c r="B160" s="43" t="s">
        <v>206</v>
      </c>
      <c r="C160" s="110">
        <v>31.952114379999998</v>
      </c>
      <c r="D160" s="110">
        <v>24.37875</v>
      </c>
      <c r="E160" s="110">
        <v>21.532499999999999</v>
      </c>
      <c r="F160" s="111">
        <v>14.72625</v>
      </c>
      <c r="G160" s="88" t="e">
        <f>#N/A</f>
        <v>#N/A</v>
      </c>
    </row>
    <row r="161" ht="15.75">
      <c r="A161" s="62"/>
      <c r="B161" s="117" t="s">
        <v>207</v>
      </c>
      <c r="C161" s="105">
        <v>100.62336666639021</v>
      </c>
      <c r="D161" s="94">
        <v>285.71524714473708</v>
      </c>
      <c r="E161" s="94">
        <v>292.73983653777987</v>
      </c>
      <c r="F161" s="112">
        <v>272.90794316434176</v>
      </c>
      <c r="G161" s="88" t="e">
        <f>#N/A</f>
        <v>#N/A</v>
      </c>
    </row>
    <row r="162" ht="15.75">
      <c r="A162" s="62"/>
      <c r="B162" s="98" t="s">
        <v>208</v>
      </c>
      <c r="C162" s="105"/>
      <c r="D162" s="94"/>
      <c r="E162" s="94"/>
      <c r="F162" s="112"/>
      <c r="G162" s="88" t="e">
        <f>#N/A</f>
        <v>#N/A</v>
      </c>
    </row>
    <row r="163" ht="16.5">
      <c r="A163" s="62"/>
      <c r="B163" s="116" t="s">
        <v>196</v>
      </c>
      <c r="C163" s="118">
        <v>152.97232079999998</v>
      </c>
      <c r="D163" s="112">
        <v>0</v>
      </c>
      <c r="E163" s="112">
        <v>0</v>
      </c>
      <c r="F163" s="112">
        <v>0</v>
      </c>
      <c r="G163" s="88" t="e">
        <f>#N/A</f>
        <v>#N/A</v>
      </c>
    </row>
    <row r="164" ht="15.75">
      <c r="A164" s="62"/>
      <c r="B164" s="43" t="s">
        <v>209</v>
      </c>
      <c r="C164" s="109">
        <v>253.27691816000001</v>
      </c>
      <c r="D164" s="110">
        <v>288.16000000000003</v>
      </c>
      <c r="E164" s="110">
        <v>239.29599999999999</v>
      </c>
      <c r="F164" s="111">
        <v>139.06199999999998</v>
      </c>
      <c r="G164" s="88" t="e">
        <f>#N/A</f>
        <v>#N/A</v>
      </c>
    </row>
    <row r="165" ht="15.75">
      <c r="A165" s="62"/>
      <c r="B165" s="117" t="s">
        <v>210</v>
      </c>
      <c r="C165" s="105">
        <v>-100.30459736000003</v>
      </c>
      <c r="D165" s="94">
        <v>-288.16000000000003</v>
      </c>
      <c r="E165" s="94">
        <v>-239.29599999999999</v>
      </c>
      <c r="F165" s="112">
        <v>-139.06199999999998</v>
      </c>
      <c r="G165" s="88" t="e">
        <f>#N/A</f>
        <v>#N/A</v>
      </c>
    </row>
    <row r="166" ht="15.75">
      <c r="A166" s="62"/>
      <c r="B166" s="119" t="s">
        <v>211</v>
      </c>
      <c r="C166" s="109"/>
      <c r="D166" s="110"/>
      <c r="E166" s="110"/>
      <c r="F166" s="111"/>
      <c r="G166" s="88" t="e">
        <f>#N/A</f>
        <v>#N/A</v>
      </c>
    </row>
    <row r="167" ht="15.75">
      <c r="A167" s="62"/>
      <c r="B167" s="93" t="s">
        <v>196</v>
      </c>
      <c r="C167" s="105">
        <v>62</v>
      </c>
      <c r="D167" s="94">
        <v>0</v>
      </c>
      <c r="E167" s="94">
        <v>0</v>
      </c>
      <c r="F167" s="112">
        <v>0</v>
      </c>
      <c r="G167" s="88" t="e">
        <f>#N/A</f>
        <v>#N/A</v>
      </c>
    </row>
    <row r="168" ht="15.75">
      <c r="A168" s="62"/>
      <c r="B168" s="113" t="s">
        <v>212</v>
      </c>
      <c r="C168" s="105">
        <v>0</v>
      </c>
      <c r="D168" s="94">
        <v>0</v>
      </c>
      <c r="E168" s="94">
        <v>0</v>
      </c>
      <c r="F168" s="112">
        <v>0</v>
      </c>
      <c r="G168" s="88" t="e">
        <f>#N/A</f>
        <v>#N/A</v>
      </c>
    </row>
    <row r="169" ht="15.75">
      <c r="A169" s="62"/>
      <c r="B169" s="93" t="s">
        <v>213</v>
      </c>
      <c r="C169" s="105">
        <v>62</v>
      </c>
      <c r="D169" s="94">
        <v>0</v>
      </c>
      <c r="E169" s="94">
        <v>0</v>
      </c>
      <c r="F169" s="112">
        <v>0</v>
      </c>
      <c r="G169" s="88" t="e">
        <f>#N/A</f>
        <v>#N/A</v>
      </c>
    </row>
    <row r="170" ht="16.5">
      <c r="A170" s="62"/>
      <c r="B170" s="116" t="s">
        <v>214</v>
      </c>
      <c r="C170" s="105">
        <v>90</v>
      </c>
      <c r="D170" s="94">
        <v>23</v>
      </c>
      <c r="E170" s="94">
        <v>55.232457798005356</v>
      </c>
      <c r="F170" s="94">
        <v>119.23245779800537</v>
      </c>
      <c r="G170" s="88" t="e">
        <f>#N/A</f>
        <v>#N/A</v>
      </c>
    </row>
    <row r="171" ht="15.75">
      <c r="A171" s="62"/>
      <c r="B171" s="43" t="s">
        <v>215</v>
      </c>
      <c r="C171" s="105">
        <v>90</v>
      </c>
      <c r="D171" s="94">
        <v>23</v>
      </c>
      <c r="E171" s="94">
        <v>55</v>
      </c>
      <c r="F171" s="112">
        <v>119</v>
      </c>
      <c r="G171" s="88" t="e">
        <f>#N/A</f>
        <v>#N/A</v>
      </c>
    </row>
    <row r="172" ht="15.75">
      <c r="A172" s="62"/>
      <c r="B172" s="117" t="s">
        <v>216</v>
      </c>
      <c r="C172" s="109">
        <v>-28</v>
      </c>
      <c r="D172" s="110">
        <v>-23</v>
      </c>
      <c r="E172" s="110">
        <v>-55.232457798005356</v>
      </c>
      <c r="F172" s="111">
        <v>-119.23245779800537</v>
      </c>
      <c r="G172" s="88" t="e">
        <f>#N/A</f>
        <v>#N/A</v>
      </c>
    </row>
    <row r="173" ht="15.75">
      <c r="A173" s="62"/>
      <c r="B173" s="120" t="s">
        <v>217</v>
      </c>
      <c r="C173" s="109">
        <v>-27.68123069360982</v>
      </c>
      <c r="D173" s="110">
        <v>-25.444752855262948</v>
      </c>
      <c r="E173" s="110">
        <v>-1.788621260225483</v>
      </c>
      <c r="F173" s="111">
        <v>14.613485366336405</v>
      </c>
      <c r="G173" s="88" t="e">
        <f>#N/A</f>
        <v>#N/A</v>
      </c>
    </row>
    <row r="174" ht="15.75">
      <c r="A174" s="62"/>
      <c r="B174" s="120" t="s">
        <v>218</v>
      </c>
      <c r="C174" s="109">
        <v>0</v>
      </c>
      <c r="D174" s="110">
        <v>0</v>
      </c>
      <c r="E174" s="110">
        <v>0</v>
      </c>
      <c r="F174" s="111">
        <v>0</v>
      </c>
      <c r="G174" s="88" t="e">
        <f>#N/A</f>
        <v>#N/A</v>
      </c>
    </row>
    <row r="175" ht="15.75">
      <c r="A175" s="62"/>
      <c r="B175" s="120" t="s">
        <v>219</v>
      </c>
      <c r="C175" s="109">
        <v>0</v>
      </c>
      <c r="D175" s="110">
        <v>0</v>
      </c>
      <c r="E175" s="110">
        <v>0</v>
      </c>
      <c r="F175" s="111">
        <v>0</v>
      </c>
      <c r="G175" s="88" t="e">
        <f>#N/A</f>
        <v>#N/A</v>
      </c>
    </row>
    <row r="176" ht="15.75">
      <c r="A176" s="62"/>
      <c r="B176" s="120" t="s">
        <v>220</v>
      </c>
      <c r="C176" s="109">
        <v>0</v>
      </c>
      <c r="D176" s="110">
        <v>0</v>
      </c>
      <c r="E176" s="110">
        <v>0</v>
      </c>
      <c r="F176" s="111">
        <v>0</v>
      </c>
      <c r="G176" s="88" t="e">
        <f>#N/A</f>
        <v>#N/A</v>
      </c>
    </row>
    <row r="177" ht="15.75">
      <c r="A177" s="62"/>
      <c r="B177" s="43" t="s">
        <v>221</v>
      </c>
      <c r="C177" s="109">
        <v>0</v>
      </c>
      <c r="D177" s="110">
        <v>0</v>
      </c>
      <c r="E177" s="110">
        <v>0</v>
      </c>
      <c r="F177" s="110">
        <v>0</v>
      </c>
      <c r="G177" s="88" t="e">
        <f>#N/A</f>
        <v>#N/A</v>
      </c>
    </row>
    <row r="178" ht="15.75">
      <c r="A178" s="62"/>
      <c r="B178" s="43" t="s">
        <v>222</v>
      </c>
      <c r="C178" s="109">
        <v>0</v>
      </c>
      <c r="D178" s="110">
        <v>0</v>
      </c>
      <c r="E178" s="110">
        <v>0</v>
      </c>
      <c r="F178" s="111">
        <v>0</v>
      </c>
      <c r="G178" s="88" t="e">
        <f>#N/A</f>
        <v>#N/A</v>
      </c>
    </row>
    <row r="179" ht="15.75">
      <c r="A179" s="62"/>
      <c r="B179" s="120" t="s">
        <v>217</v>
      </c>
      <c r="C179" s="105">
        <v>-27.68123069360982</v>
      </c>
      <c r="D179" s="94">
        <v>-25.444752855262948</v>
      </c>
      <c r="E179" s="94">
        <v>-1.788621260225483</v>
      </c>
      <c r="F179" s="112">
        <v>14.613485366336405</v>
      </c>
      <c r="G179" s="88" t="e">
        <f>#N/A</f>
        <v>#N/A</v>
      </c>
    </row>
    <row r="180" ht="15.75">
      <c r="A180" s="62"/>
      <c r="B180" s="113" t="s">
        <v>223</v>
      </c>
      <c r="C180" s="109">
        <v>-27.68123069360982</v>
      </c>
      <c r="D180" s="110">
        <v>-25.444752855262948</v>
      </c>
      <c r="E180" s="110">
        <v>-27.233374115488431</v>
      </c>
      <c r="F180" s="111">
        <v>-12.619888749152025</v>
      </c>
      <c r="G180" s="88" t="e">
        <f>#N/A</f>
        <v>#N/A</v>
      </c>
    </row>
    <row r="181" ht="15.75">
      <c r="A181" s="62"/>
      <c r="B181" s="113" t="s">
        <v>224</v>
      </c>
      <c r="C181" s="109">
        <v>79.32396158499958</v>
      </c>
      <c r="D181" s="110">
        <v>51.642730891390244</v>
      </c>
      <c r="E181" s="110">
        <v>26.197978036127296</v>
      </c>
      <c r="F181" s="111">
        <v>24.409356775901813</v>
      </c>
      <c r="G181" s="88" t="e">
        <f>#N/A</f>
        <v>#N/A</v>
      </c>
    </row>
    <row r="182" ht="15.75">
      <c r="A182" s="62"/>
      <c r="B182" s="62" t="s">
        <v>225</v>
      </c>
      <c r="C182" s="121">
        <v>225</v>
      </c>
      <c r="D182" s="122">
        <v>197</v>
      </c>
      <c r="E182" s="122">
        <v>174</v>
      </c>
      <c r="F182" s="122">
        <v>119</v>
      </c>
      <c r="G182" s="88" t="e">
        <f>#N/A</f>
        <v>#N/A</v>
      </c>
    </row>
    <row r="183" ht="15.75">
      <c r="A183" s="62"/>
      <c r="B183" s="62" t="s">
        <v>226</v>
      </c>
      <c r="C183" s="121">
        <v>197</v>
      </c>
      <c r="D183" s="62">
        <v>174</v>
      </c>
      <c r="E183" s="62">
        <v>119</v>
      </c>
      <c r="F183" s="62">
        <v>0</v>
      </c>
      <c r="G183" s="88">
        <f>SUM(C183:F183)</f>
        <v>490</v>
      </c>
    </row>
    <row r="188" ht="15.75">
      <c r="A188" s="123"/>
      <c r="B188" s="123"/>
      <c r="C188" s="123"/>
      <c r="D188" s="124"/>
      <c r="E188" s="124"/>
      <c r="F188" s="124"/>
      <c r="G188" s="1"/>
      <c r="H188" s="2"/>
      <c r="I188" s="2"/>
    </row>
    <row r="189" ht="15.75">
      <c r="A189" s="125"/>
      <c r="B189" s="126" t="s">
        <v>227</v>
      </c>
      <c r="C189" s="126"/>
      <c r="D189" s="127"/>
      <c r="E189" s="127"/>
      <c r="F189" s="127"/>
      <c r="G189" s="127"/>
      <c r="H189" s="128"/>
      <c r="I189" s="2"/>
    </row>
    <row r="190" ht="15.75">
      <c r="A190" s="125"/>
      <c r="B190" s="129" t="s">
        <v>228</v>
      </c>
      <c r="C190" s="129">
        <v>2016</v>
      </c>
      <c r="D190" s="129">
        <v>2017</v>
      </c>
      <c r="E190" s="129">
        <v>2018</v>
      </c>
      <c r="F190" s="129">
        <v>2019</v>
      </c>
      <c r="G190" s="129" t="s">
        <v>7</v>
      </c>
      <c r="H190" s="130" t="s">
        <v>229</v>
      </c>
      <c r="I190" s="2"/>
    </row>
    <row r="191" ht="15.75">
      <c r="A191" s="125"/>
      <c r="B191" s="127" t="s">
        <v>90</v>
      </c>
      <c r="C191" s="131">
        <f>C63-C75</f>
        <v>0.011800000000022237</v>
      </c>
      <c r="D191" s="131">
        <f>D63-D75</f>
        <v>-0.00065399999994042446</v>
      </c>
      <c r="E191" s="131">
        <f>E63-E75</f>
        <v>0.00011772999951631391</v>
      </c>
      <c r="F191" s="131">
        <f>F63-F75</f>
        <v>0.0021111852701949374</v>
      </c>
      <c r="G191" s="132">
        <f>SUM(C191:F191)</f>
        <v>0.013374915269793064</v>
      </c>
      <c r="H191" s="133"/>
      <c r="I191" s="2"/>
    </row>
    <row r="192" ht="47.25">
      <c r="A192" s="125"/>
      <c r="B192" s="127" t="s">
        <v>230</v>
      </c>
      <c r="C192" s="131">
        <f>C58-C90</f>
        <v>9.4594271186440473</v>
      </c>
      <c r="D192" s="131">
        <f>D58-D90</f>
        <v>-9.9762711876394405e-05</v>
      </c>
      <c r="E192" s="131">
        <f>E58-E90</f>
        <v>1.7958813479879154e-05</v>
      </c>
      <c r="F192" s="131">
        <f>F58-F90</f>
        <v>0.00032204521069800762</v>
      </c>
      <c r="G192" s="132">
        <f>SUM(D192:F192)</f>
        <v>0.00024024131230149237</v>
      </c>
      <c r="H192" s="134" t="s">
        <v>231</v>
      </c>
      <c r="I192" s="2"/>
    </row>
    <row r="193" ht="15.75">
      <c r="A193" s="125"/>
      <c r="B193" s="127"/>
      <c r="C193" s="127"/>
      <c r="D193" s="127"/>
      <c r="E193" s="127"/>
      <c r="F193" s="127"/>
      <c r="G193" s="127"/>
      <c r="H193" s="133"/>
      <c r="I193" s="2"/>
    </row>
    <row r="194" ht="15.75">
      <c r="A194" s="135"/>
      <c r="B194" s="126" t="s">
        <v>232</v>
      </c>
      <c r="C194" s="126"/>
      <c r="D194" s="127"/>
      <c r="E194" s="127"/>
      <c r="F194" s="127"/>
      <c r="G194" s="127"/>
      <c r="H194" s="133"/>
      <c r="I194" s="2"/>
    </row>
    <row r="195" ht="15.75">
      <c r="A195" s="135"/>
      <c r="B195" s="129" t="s">
        <v>228</v>
      </c>
      <c r="C195" s="129">
        <v>2016</v>
      </c>
      <c r="D195" s="129">
        <v>2017</v>
      </c>
      <c r="E195" s="129">
        <v>2018</v>
      </c>
      <c r="F195" s="129">
        <v>2019</v>
      </c>
      <c r="G195" s="129" t="s">
        <v>7</v>
      </c>
      <c r="H195" s="130" t="s">
        <v>229</v>
      </c>
      <c r="I195" s="2"/>
    </row>
    <row r="196" ht="15.75">
      <c r="A196" s="135"/>
      <c r="B196" s="127" t="s">
        <v>72</v>
      </c>
      <c r="C196" s="136">
        <f>C48-C169</f>
        <v>0</v>
      </c>
      <c r="D196" s="136">
        <f>D48-D169</f>
        <v>0</v>
      </c>
      <c r="E196" s="136">
        <f>E48-E169</f>
        <v>0</v>
      </c>
      <c r="F196" s="136">
        <f>F48-F169</f>
        <v>0</v>
      </c>
      <c r="G196" s="137">
        <f>SUM(C196:F196)</f>
        <v>0</v>
      </c>
      <c r="H196" s="134"/>
      <c r="I196" s="2"/>
    </row>
    <row r="197" ht="15.75">
      <c r="A197" s="135"/>
      <c r="B197" s="127" t="s">
        <v>233</v>
      </c>
      <c r="C197" s="138">
        <f>C171-C53</f>
        <v>0</v>
      </c>
      <c r="D197" s="138">
        <f>D171-D53</f>
        <v>0</v>
      </c>
      <c r="E197" s="138">
        <f>E171-E53</f>
        <v>0</v>
      </c>
      <c r="F197" s="138">
        <f>F171-F53</f>
        <v>0</v>
      </c>
      <c r="G197" s="137">
        <f t="shared" ref="G197:G200" si="1">SUM(D197:F197)</f>
        <v>0</v>
      </c>
      <c r="H197" s="134"/>
      <c r="I197" s="2"/>
    </row>
    <row r="198" ht="15.75">
      <c r="A198" s="135"/>
      <c r="B198" s="139" t="s">
        <v>234</v>
      </c>
      <c r="C198" s="138">
        <f t="shared" ref="C198:C199" si="2">C237-C240</f>
        <v>536.44833082207924</v>
      </c>
      <c r="D198" s="138" t="e">
        <f>#N/A</f>
        <v>#N/A</v>
      </c>
      <c r="E198" s="138" t="e">
        <f>#N/A</f>
        <v>#N/A</v>
      </c>
      <c r="F198" s="138" t="e">
        <f>#N/A</f>
        <v>#N/A</v>
      </c>
      <c r="G198" s="137" t="e">
        <f t="shared" si="1"/>
        <v>#N/A</v>
      </c>
      <c r="H198" s="140" t="s">
        <v>235</v>
      </c>
      <c r="I198" s="2"/>
    </row>
    <row r="199" ht="15.75">
      <c r="A199" s="135"/>
      <c r="B199" s="139" t="s">
        <v>236</v>
      </c>
      <c r="C199" s="138">
        <f t="shared" si="2"/>
        <v>303.46208836476376</v>
      </c>
      <c r="D199" s="138" t="e">
        <f>D238-D241</f>
        <v>#N/A</v>
      </c>
      <c r="E199" s="138" t="e">
        <f>#N/A</f>
        <v>#N/A</v>
      </c>
      <c r="F199" s="138" t="e">
        <f>#N/A</f>
        <v>#N/A</v>
      </c>
      <c r="G199" s="137" t="e">
        <f t="shared" si="1"/>
        <v>#N/A</v>
      </c>
      <c r="H199" s="140"/>
      <c r="I199" s="2"/>
    </row>
    <row r="200" ht="15.75">
      <c r="A200" s="135"/>
      <c r="B200" s="127" t="s">
        <v>237</v>
      </c>
      <c r="C200" s="138">
        <f>C70-C183</f>
        <v>0</v>
      </c>
      <c r="D200" s="138">
        <f>D70-D183</f>
        <v>0</v>
      </c>
      <c r="E200" s="138">
        <f>E70-E183</f>
        <v>0</v>
      </c>
      <c r="F200" s="138">
        <f>F70-F183</f>
        <v>0</v>
      </c>
      <c r="G200" s="137">
        <f t="shared" si="1"/>
        <v>0</v>
      </c>
      <c r="H200" s="141"/>
      <c r="I200" s="2"/>
    </row>
    <row r="201" ht="15.75">
      <c r="A201" s="135"/>
      <c r="B201" s="127"/>
      <c r="C201" s="127"/>
      <c r="D201" s="142"/>
      <c r="E201" s="142"/>
      <c r="F201" s="142"/>
      <c r="G201" s="143"/>
      <c r="H201" s="133"/>
      <c r="I201" s="2"/>
    </row>
    <row r="202" ht="15.75">
      <c r="A202" s="125"/>
      <c r="B202" s="126" t="s">
        <v>238</v>
      </c>
      <c r="C202" s="126"/>
      <c r="D202" s="127"/>
      <c r="E202" s="127"/>
      <c r="F202" s="127"/>
      <c r="G202" s="127"/>
      <c r="H202" s="133"/>
      <c r="I202" s="2"/>
    </row>
    <row r="203" ht="15.75">
      <c r="A203" s="125"/>
      <c r="B203" s="129" t="s">
        <v>228</v>
      </c>
      <c r="C203" s="129">
        <v>2016</v>
      </c>
      <c r="D203" s="129">
        <v>2017</v>
      </c>
      <c r="E203" s="129">
        <v>2018</v>
      </c>
      <c r="F203" s="129">
        <v>2019</v>
      </c>
      <c r="G203" s="129" t="s">
        <v>7</v>
      </c>
      <c r="H203" s="130" t="s">
        <v>229</v>
      </c>
      <c r="I203" s="2"/>
    </row>
    <row r="204" ht="15.75">
      <c r="A204" s="125"/>
      <c r="B204" s="127" t="s">
        <v>180</v>
      </c>
      <c r="C204" s="138">
        <f>C125-C4</f>
        <v>-224.45218664173444</v>
      </c>
      <c r="D204" s="138">
        <f>D125-D4</f>
        <v>-240.00741193831641</v>
      </c>
      <c r="E204" s="138">
        <f>E125-E4</f>
        <v>-241.89547341808429</v>
      </c>
      <c r="F204" s="138">
        <f>F125-F4</f>
        <v>-251.63285754971025</v>
      </c>
      <c r="G204" s="137" t="e">
        <f>#N/A</f>
        <v>#N/A</v>
      </c>
      <c r="H204" s="144" t="s">
        <v>239</v>
      </c>
      <c r="I204" s="2"/>
    </row>
    <row r="205" ht="15.75">
      <c r="A205" s="125"/>
      <c r="B205" s="127" t="s">
        <v>186</v>
      </c>
      <c r="C205" s="138">
        <f>C131-C8</f>
        <v>-270.30373199999985</v>
      </c>
      <c r="D205" s="138">
        <f>D131-D8</f>
        <v>-288.54210599999988</v>
      </c>
      <c r="E205" s="138">
        <f>E131-E8</f>
        <v>-291.10388399999988</v>
      </c>
      <c r="F205" s="138">
        <f>F131-F8</f>
        <v>-298.31975999999986</v>
      </c>
      <c r="G205" s="137" t="e">
        <f>#N/A</f>
        <v>#N/A</v>
      </c>
      <c r="H205" s="144"/>
      <c r="I205" s="2"/>
    </row>
    <row r="206" ht="15.75">
      <c r="A206" s="125"/>
      <c r="B206" s="127" t="s">
        <v>189</v>
      </c>
      <c r="C206" s="138">
        <f>C139-C22</f>
        <v>45.851545358265412</v>
      </c>
      <c r="D206" s="138">
        <f>D139-D22</f>
        <v>48.534694061683467</v>
      </c>
      <c r="E206" s="138">
        <f>E139-E22</f>
        <v>49.208410581915587</v>
      </c>
      <c r="F206" s="138">
        <f>F139-F22</f>
        <v>46.686902450289608</v>
      </c>
      <c r="G206" s="137" t="e">
        <f>#N/A</f>
        <v>#N/A</v>
      </c>
      <c r="H206" s="144"/>
      <c r="I206" s="2"/>
    </row>
    <row r="207" ht="15.75">
      <c r="A207" s="125"/>
      <c r="B207" s="127" t="s">
        <v>190</v>
      </c>
      <c r="C207" s="138">
        <f>C140-C28</f>
        <v>-40.314687774850881</v>
      </c>
      <c r="D207" s="138">
        <f>D140-D28</f>
        <v>132.11620969997443</v>
      </c>
      <c r="E207" s="138">
        <f>E140-E28</f>
        <v>171.96989354488619</v>
      </c>
      <c r="F207" s="138">
        <f>F140-F28</f>
        <v>199.49066877985499</v>
      </c>
      <c r="G207" s="137" t="e">
        <f>#N/A</f>
        <v>#N/A</v>
      </c>
      <c r="H207" s="144"/>
      <c r="I207" s="1"/>
    </row>
    <row r="208" ht="15.75">
      <c r="A208" s="125"/>
      <c r="B208" s="127" t="s">
        <v>47</v>
      </c>
      <c r="C208" s="138">
        <f>C141-C30</f>
        <v>0</v>
      </c>
      <c r="D208" s="138">
        <f>D141-D30</f>
        <v>0</v>
      </c>
      <c r="E208" s="138">
        <f>E141-E30</f>
        <v>0</v>
      </c>
      <c r="F208" s="138">
        <f>F141-F30</f>
        <v>0</v>
      </c>
      <c r="G208" s="137" t="e">
        <f>#N/A</f>
        <v>#N/A</v>
      </c>
      <c r="H208" s="134"/>
      <c r="I208" s="2"/>
    </row>
    <row r="209" ht="15.75">
      <c r="A209" s="125"/>
      <c r="B209" s="127" t="s">
        <v>51</v>
      </c>
      <c r="C209" s="138">
        <f t="shared" ref="C209:C210" si="3">C142-C32</f>
        <v>0</v>
      </c>
      <c r="D209" s="138" t="e">
        <f>#N/A</f>
        <v>#N/A</v>
      </c>
      <c r="E209" s="138" t="e">
        <f>#N/A</f>
        <v>#N/A</v>
      </c>
      <c r="F209" s="138" t="e">
        <f>#N/A</f>
        <v>#N/A</v>
      </c>
      <c r="G209" s="137" t="e">
        <f>#N/A</f>
        <v>#N/A</v>
      </c>
      <c r="H209" s="134"/>
      <c r="I209" s="2"/>
    </row>
    <row r="210" ht="15.75">
      <c r="A210" s="125"/>
      <c r="B210" s="127" t="s">
        <v>192</v>
      </c>
      <c r="C210" s="138">
        <f t="shared" si="3"/>
        <v>2.8421709430404007e-14</v>
      </c>
      <c r="D210" s="138" t="e">
        <f>#N/A</f>
        <v>#N/A</v>
      </c>
      <c r="E210" s="138" t="e">
        <f>#N/A</f>
        <v>#N/A</v>
      </c>
      <c r="F210" s="138" t="e">
        <f>#N/A</f>
        <v>#N/A</v>
      </c>
      <c r="G210" s="137" t="e">
        <f>#N/A</f>
        <v>#N/A</v>
      </c>
      <c r="H210" s="145"/>
      <c r="I210" s="2"/>
    </row>
    <row r="211" ht="15.75">
      <c r="A211" s="125"/>
      <c r="B211" s="127"/>
      <c r="C211" s="127"/>
      <c r="D211" s="127"/>
      <c r="E211" s="127"/>
      <c r="F211" s="127"/>
      <c r="G211" s="127"/>
      <c r="H211" s="145"/>
      <c r="I211" s="2"/>
    </row>
    <row r="212" ht="15.75">
      <c r="A212" s="125"/>
      <c r="B212" s="126" t="s">
        <v>240</v>
      </c>
      <c r="C212" s="126"/>
      <c r="D212" s="127"/>
      <c r="E212" s="127"/>
      <c r="F212" s="127"/>
      <c r="G212" s="127"/>
      <c r="H212" s="145"/>
      <c r="I212" s="2"/>
    </row>
    <row r="213" ht="15.75">
      <c r="A213" s="135"/>
      <c r="B213" s="129" t="s">
        <v>228</v>
      </c>
      <c r="C213" s="129">
        <v>2016</v>
      </c>
      <c r="D213" s="129">
        <v>2017</v>
      </c>
      <c r="E213" s="129">
        <v>2018</v>
      </c>
      <c r="F213" s="129">
        <v>2019</v>
      </c>
      <c r="G213" s="129" t="s">
        <v>7</v>
      </c>
      <c r="H213" s="130" t="s">
        <v>229</v>
      </c>
      <c r="I213" s="2"/>
    </row>
    <row r="214" ht="15.75">
      <c r="A214" s="135"/>
      <c r="B214" s="127" t="s">
        <v>241</v>
      </c>
      <c r="C214" s="138">
        <f>C164-C75</f>
        <v>0.011800000000022237</v>
      </c>
      <c r="D214" s="138">
        <f>D164-D75</f>
        <v>-0.00065399999994042446</v>
      </c>
      <c r="E214" s="138">
        <f>E164-E75</f>
        <v>0.00011772999951631391</v>
      </c>
      <c r="F214" s="138">
        <f>F164-F75</f>
        <v>0.0021111852701949374</v>
      </c>
      <c r="G214" s="137">
        <f>SUM(C214:F214)</f>
        <v>0.013374915269793064</v>
      </c>
      <c r="H214" s="145"/>
      <c r="I214" s="2"/>
    </row>
    <row r="215" ht="15.75">
      <c r="A215" s="135"/>
      <c r="B215" s="139" t="s">
        <v>242</v>
      </c>
      <c r="C215" s="146">
        <f>C239-C67</f>
        <v>0</v>
      </c>
      <c r="D215" s="146" t="e">
        <f>D239-D67</f>
        <v>#N/A</v>
      </c>
      <c r="E215" s="146" t="e">
        <f>E239-E67</f>
        <v>#N/A</v>
      </c>
      <c r="F215" s="146" t="e">
        <f>F239-F67</f>
        <v>#N/A</v>
      </c>
      <c r="G215" s="137" t="e">
        <f t="shared" ref="G215:G216" si="4">SUM(D215:F215)</f>
        <v>#N/A</v>
      </c>
      <c r="H215" s="145"/>
      <c r="I215" s="2"/>
    </row>
    <row r="216" ht="15.75">
      <c r="A216" s="135"/>
      <c r="B216" s="147" t="s">
        <v>243</v>
      </c>
      <c r="C216" s="138">
        <f>(C182-C183)-(C171-C167)</f>
        <v>0</v>
      </c>
      <c r="D216" s="138">
        <f>(D182-D183)-(D171-D167)</f>
        <v>0</v>
      </c>
      <c r="E216" s="138">
        <f>(E182-E183)-(E171-E167)</f>
        <v>0</v>
      </c>
      <c r="F216" s="138">
        <f>(F182-F183)-(F171-F167)</f>
        <v>0</v>
      </c>
      <c r="G216" s="137">
        <f t="shared" si="4"/>
        <v>0</v>
      </c>
      <c r="H216" s="134"/>
      <c r="I216" s="2"/>
    </row>
    <row r="217" ht="15.75">
      <c r="A217" s="135"/>
      <c r="B217" s="127"/>
      <c r="C217" s="127"/>
      <c r="D217" s="148"/>
      <c r="E217" s="148"/>
      <c r="F217" s="148"/>
      <c r="G217" s="127"/>
      <c r="H217" s="145"/>
      <c r="I217" s="2"/>
    </row>
    <row r="218" ht="15.75">
      <c r="A218" s="135"/>
      <c r="B218" s="126" t="s">
        <v>244</v>
      </c>
      <c r="C218" s="126"/>
      <c r="D218" s="127"/>
      <c r="E218" s="127"/>
      <c r="F218" s="127"/>
      <c r="G218" s="127"/>
      <c r="H218" s="145"/>
      <c r="I218" s="2"/>
    </row>
    <row r="219" ht="15.75">
      <c r="A219" s="135"/>
      <c r="B219" s="129" t="s">
        <v>228</v>
      </c>
      <c r="C219" s="129">
        <v>2016</v>
      </c>
      <c r="D219" s="129">
        <v>2017</v>
      </c>
      <c r="E219" s="129">
        <v>2018</v>
      </c>
      <c r="F219" s="129">
        <v>2019</v>
      </c>
      <c r="G219" s="129" t="s">
        <v>7</v>
      </c>
      <c r="H219" s="130" t="s">
        <v>229</v>
      </c>
      <c r="I219" s="2"/>
    </row>
    <row r="220" ht="15.75">
      <c r="A220" s="135"/>
      <c r="B220" s="149" t="s">
        <v>245</v>
      </c>
      <c r="C220" s="150">
        <f>C15</f>
        <v>182.08791219999995</v>
      </c>
      <c r="D220" s="150">
        <f>D15</f>
        <v>248.444089961</v>
      </c>
      <c r="E220" s="150">
        <f>E15</f>
        <v>249.09855200399997</v>
      </c>
      <c r="F220" s="150">
        <f>F15</f>
        <v>247.51132661719998</v>
      </c>
      <c r="G220" s="150">
        <f t="shared" ref="G220:G222" si="5">SUM(C220:F220)</f>
        <v>927.14188078219991</v>
      </c>
      <c r="H220" s="2"/>
      <c r="I220" s="2"/>
    </row>
    <row r="221" ht="15.75">
      <c r="A221" s="135"/>
      <c r="B221" s="147" t="s">
        <v>246</v>
      </c>
      <c r="C221" s="131">
        <f>C33</f>
        <v>-1.2522714238188826</v>
      </c>
      <c r="D221" s="131">
        <f>D33</f>
        <v>23.245769197900064</v>
      </c>
      <c r="E221" s="131">
        <f>E33</f>
        <v>56.010415323837421</v>
      </c>
      <c r="F221" s="131">
        <f>F33</f>
        <v>90.383928432566563</v>
      </c>
      <c r="G221" s="131">
        <f t="shared" si="5"/>
        <v>168.38784153048516</v>
      </c>
      <c r="H221" s="145"/>
      <c r="I221" s="2"/>
    </row>
    <row r="222" ht="15.75">
      <c r="A222" s="135"/>
      <c r="B222" s="149" t="s">
        <v>247</v>
      </c>
      <c r="C222" s="150">
        <f>C38</f>
        <v>0</v>
      </c>
      <c r="D222" s="150">
        <f>D38</f>
        <v>0</v>
      </c>
      <c r="E222" s="151">
        <f>E38</f>
        <v>0.23245779800536015</v>
      </c>
      <c r="F222" s="151">
        <f>F38</f>
        <v>0.56010435361397781</v>
      </c>
      <c r="G222" s="150">
        <f t="shared" si="5"/>
        <v>0.79256215161933796</v>
      </c>
      <c r="I222" s="2"/>
    </row>
    <row r="223" ht="47.25">
      <c r="A223" s="135"/>
      <c r="B223" s="152" t="s">
        <v>248</v>
      </c>
      <c r="C223" s="153">
        <f>C222/C221</f>
        <v>0</v>
      </c>
      <c r="D223" s="153">
        <f>D222/D221</f>
        <v>0</v>
      </c>
      <c r="E223" s="153">
        <f>E222/E221</f>
        <v>0.0041502602089513278</v>
      </c>
      <c r="F223" s="153">
        <f>F222/F221</f>
        <v>0.006196946330252277</v>
      </c>
      <c r="G223" s="153">
        <f>G222/G221</f>
        <v>0.0047067659067050365</v>
      </c>
      <c r="H223" s="134" t="s">
        <v>249</v>
      </c>
      <c r="I223" s="2"/>
    </row>
    <row r="224" ht="15.75">
      <c r="A224" s="135"/>
      <c r="B224" s="149" t="s">
        <v>250</v>
      </c>
      <c r="C224" s="150">
        <f>C181</f>
        <v>79.32396158499958</v>
      </c>
      <c r="D224" s="150">
        <f>D181</f>
        <v>51.642730891390244</v>
      </c>
      <c r="E224" s="150">
        <f>E181</f>
        <v>26.197978036127296</v>
      </c>
      <c r="F224" s="150">
        <f>F181</f>
        <v>24.409356775901813</v>
      </c>
      <c r="G224" s="150"/>
      <c r="H224" s="145"/>
      <c r="I224" s="2"/>
    </row>
    <row r="225" ht="15.75">
      <c r="A225" s="135"/>
      <c r="B225" s="147" t="s">
        <v>251</v>
      </c>
      <c r="C225" s="138">
        <f>C224+C242</f>
        <v>51.642730891389903</v>
      </c>
      <c r="D225" s="138">
        <f>D224+D242</f>
        <v>26.197978036127239</v>
      </c>
      <c r="E225" s="138">
        <f>E224+E242</f>
        <v>24.409356775901841</v>
      </c>
      <c r="F225" s="138">
        <f>F224+F242</f>
        <v>39.022842142238403</v>
      </c>
      <c r="G225" s="154"/>
      <c r="H225" s="145"/>
      <c r="I225" s="2"/>
    </row>
    <row r="226" ht="15.75">
      <c r="A226" s="135"/>
      <c r="B226" s="155" t="s">
        <v>252</v>
      </c>
      <c r="C226" s="131">
        <f>C225-D224</f>
        <v>-3.4106051316484809e-13</v>
      </c>
      <c r="D226" s="131">
        <f>D225-E224</f>
        <v>-5.6843418860808015e-14</v>
      </c>
      <c r="E226" s="131">
        <f>E225-F224</f>
        <v>2.8421709430404007e-14</v>
      </c>
      <c r="F226" s="131"/>
      <c r="G226" s="131"/>
      <c r="H226" s="134"/>
      <c r="I226" s="2"/>
    </row>
    <row r="227" ht="15.75">
      <c r="A227" s="135"/>
      <c r="B227" s="149" t="s">
        <v>253</v>
      </c>
      <c r="C227" s="150">
        <f>C161</f>
        <v>100.62336666639021</v>
      </c>
      <c r="D227" s="150">
        <f>D161</f>
        <v>285.71524714473708</v>
      </c>
      <c r="E227" s="150">
        <f>E161</f>
        <v>292.73983653777987</v>
      </c>
      <c r="F227" s="150">
        <f>F161</f>
        <v>272.90794316434176</v>
      </c>
      <c r="G227" s="156"/>
      <c r="H227" s="145"/>
      <c r="I227" s="2"/>
    </row>
    <row r="228" ht="15.75">
      <c r="A228" s="135"/>
      <c r="B228" s="147" t="s">
        <v>254</v>
      </c>
      <c r="C228" s="138">
        <f>C165</f>
        <v>-100.30459736000003</v>
      </c>
      <c r="D228" s="138">
        <f>D165</f>
        <v>-288.16000000000003</v>
      </c>
      <c r="E228" s="138">
        <f>E165</f>
        <v>-239.29599999999999</v>
      </c>
      <c r="F228" s="138">
        <f>F165</f>
        <v>-139.06199999999998</v>
      </c>
      <c r="G228" s="156"/>
      <c r="H228" s="145"/>
      <c r="I228" s="2"/>
    </row>
    <row r="229" ht="15.75">
      <c r="A229" s="135"/>
      <c r="B229" s="147" t="s">
        <v>255</v>
      </c>
      <c r="C229" s="138">
        <f>C172</f>
        <v>-28</v>
      </c>
      <c r="D229" s="138">
        <f>D172</f>
        <v>-23</v>
      </c>
      <c r="E229" s="138">
        <f>E172</f>
        <v>-55.232457798005356</v>
      </c>
      <c r="F229" s="138">
        <f>F172</f>
        <v>-119.23245779800537</v>
      </c>
      <c r="G229" s="156"/>
      <c r="H229" s="145"/>
      <c r="I229" s="2"/>
    </row>
    <row r="230" ht="15.75">
      <c r="A230" s="135"/>
      <c r="B230" s="152" t="s">
        <v>256</v>
      </c>
      <c r="C230" s="138">
        <f>C171</f>
        <v>90</v>
      </c>
      <c r="D230" s="138">
        <f>D171</f>
        <v>23</v>
      </c>
      <c r="E230" s="138">
        <f>E171</f>
        <v>55</v>
      </c>
      <c r="F230" s="138">
        <f>F171</f>
        <v>119</v>
      </c>
      <c r="G230" s="156"/>
      <c r="H230" s="145"/>
      <c r="I230" s="2"/>
    </row>
    <row r="231" ht="15.75">
      <c r="A231" s="135"/>
      <c r="B231" s="152" t="s">
        <v>257</v>
      </c>
      <c r="C231" s="138">
        <f>C55</f>
        <v>90</v>
      </c>
      <c r="D231" s="138">
        <f>D55</f>
        <v>23</v>
      </c>
      <c r="E231" s="138">
        <f>E55</f>
        <v>55</v>
      </c>
      <c r="F231" s="138">
        <f>F55</f>
        <v>119</v>
      </c>
      <c r="G231" s="156"/>
      <c r="H231" s="145"/>
      <c r="I231" s="2"/>
    </row>
    <row r="232" ht="15.75">
      <c r="A232" s="135"/>
      <c r="B232" s="152" t="s">
        <v>258</v>
      </c>
      <c r="C232" s="138">
        <f>C169</f>
        <v>62</v>
      </c>
      <c r="D232" s="138">
        <f>D169</f>
        <v>0</v>
      </c>
      <c r="E232" s="138">
        <f>E169</f>
        <v>0</v>
      </c>
      <c r="F232" s="138">
        <f>F169</f>
        <v>0</v>
      </c>
      <c r="G232" s="156"/>
      <c r="H232" s="145"/>
      <c r="I232" s="2"/>
    </row>
    <row r="233" ht="15.75">
      <c r="A233" s="135"/>
      <c r="B233" s="152" t="s">
        <v>257</v>
      </c>
      <c r="C233" s="138">
        <f>C50</f>
        <v>62</v>
      </c>
      <c r="D233" s="138">
        <f>D50</f>
        <v>0</v>
      </c>
      <c r="E233" s="138">
        <f>E50</f>
        <v>0</v>
      </c>
      <c r="F233" s="138">
        <f>F50</f>
        <v>0</v>
      </c>
      <c r="G233" s="127"/>
      <c r="H233" s="145"/>
      <c r="I233" s="2"/>
    </row>
    <row r="234" ht="15.75">
      <c r="A234" s="135"/>
      <c r="B234" s="147" t="s">
        <v>259</v>
      </c>
      <c r="C234" s="138">
        <f>C70</f>
        <v>197</v>
      </c>
      <c r="D234" s="138">
        <f>D70</f>
        <v>174</v>
      </c>
      <c r="E234" s="138">
        <f>E70</f>
        <v>119</v>
      </c>
      <c r="F234" s="138">
        <f>F70</f>
        <v>0</v>
      </c>
      <c r="G234" s="156"/>
      <c r="H234" s="145"/>
      <c r="I234" s="2"/>
    </row>
    <row r="235" ht="15.75">
      <c r="A235" s="135"/>
      <c r="B235" s="147" t="s">
        <v>260</v>
      </c>
      <c r="C235" s="138">
        <f>C69</f>
        <v>181.36294324646462</v>
      </c>
      <c r="D235" s="138">
        <f>D69</f>
        <v>260.12147852067005</v>
      </c>
      <c r="E235" s="138">
        <f>E69</f>
        <v>298.57335838684719</v>
      </c>
      <c r="F235" s="138">
        <f>F69</f>
        <v>333.16489628901678</v>
      </c>
      <c r="G235" s="154"/>
      <c r="H235" s="145"/>
      <c r="I235" s="2"/>
    </row>
    <row r="236" ht="15.75">
      <c r="A236" s="135"/>
      <c r="B236" s="157" t="s">
        <v>261</v>
      </c>
      <c r="C236" s="131">
        <f>C234/C235</f>
        <v>1.0862196900514858</v>
      </c>
      <c r="D236" s="131">
        <f>D234/D235</f>
        <v>0.66891823385577687</v>
      </c>
      <c r="E236" s="131">
        <f>E234/E235</f>
        <v>0.39856201719718543</v>
      </c>
      <c r="F236" s="131">
        <f>F234/F235</f>
        <v>0</v>
      </c>
      <c r="G236" s="127"/>
      <c r="H236" s="145"/>
      <c r="I236" s="2"/>
    </row>
    <row r="237" ht="15.75">
      <c r="A237" s="135"/>
      <c r="B237" s="147" t="s">
        <v>262</v>
      </c>
      <c r="C237" s="138">
        <f t="shared" ref="C237:C238" si="6">C65</f>
        <v>2475.4546985041843</v>
      </c>
      <c r="D237" s="138" t="e">
        <f>#N/A</f>
        <v>#N/A</v>
      </c>
      <c r="E237" s="138" t="e">
        <f>#N/A</f>
        <v>#N/A</v>
      </c>
      <c r="F237" s="138" t="e">
        <f>#N/A</f>
        <v>#N/A</v>
      </c>
      <c r="G237" s="154"/>
      <c r="H237" s="158"/>
      <c r="I237" s="2"/>
    </row>
    <row r="238" ht="15.75">
      <c r="A238" s="135"/>
      <c r="B238" s="147" t="s">
        <v>263</v>
      </c>
      <c r="C238" s="138">
        <f t="shared" si="6"/>
        <v>2270.1496867404785</v>
      </c>
      <c r="D238" s="138" t="e">
        <f>#N/A</f>
        <v>#N/A</v>
      </c>
      <c r="E238" s="138" t="e">
        <f>#N/A</f>
        <v>#N/A</v>
      </c>
      <c r="F238" s="138" t="e">
        <f>#N/A</f>
        <v>#N/A</v>
      </c>
      <c r="G238" s="159"/>
      <c r="H238" s="158"/>
      <c r="I238" s="2"/>
    </row>
    <row r="239" ht="15.75">
      <c r="A239" s="135"/>
      <c r="B239" s="157" t="s">
        <v>264</v>
      </c>
      <c r="C239" s="137">
        <f>C237-C238</f>
        <v>205.30501176370581</v>
      </c>
      <c r="D239" s="137" t="e">
        <f>D237-D238</f>
        <v>#N/A</v>
      </c>
      <c r="E239" s="137" t="e">
        <f>E237-E238</f>
        <v>#N/A</v>
      </c>
      <c r="F239" s="137" t="e">
        <f>F237-F238</f>
        <v>#N/A</v>
      </c>
      <c r="G239" s="127"/>
      <c r="H239" s="145"/>
      <c r="I239" s="2"/>
    </row>
    <row r="240" ht="15.75">
      <c r="A240" s="135"/>
      <c r="B240" s="147" t="s">
        <v>265</v>
      </c>
      <c r="C240" s="138">
        <f>C146+C163+C167</f>
        <v>1939.0063676821051</v>
      </c>
      <c r="D240" s="138">
        <f>D146+D163+D167</f>
        <v>1915.909030155856</v>
      </c>
      <c r="E240" s="138">
        <f>E146+E163+E167</f>
        <v>1948.2591186732507</v>
      </c>
      <c r="F240" s="138">
        <f>F146+F163+F167</f>
        <v>2025.269242961283</v>
      </c>
      <c r="G240" s="127"/>
      <c r="H240" s="145"/>
      <c r="I240" s="2"/>
    </row>
    <row r="241" ht="15.75">
      <c r="A241" s="135"/>
      <c r="B241" s="147" t="s">
        <v>266</v>
      </c>
      <c r="C241" s="138">
        <f>C152+C164+C170</f>
        <v>1966.6875983757147</v>
      </c>
      <c r="D241" s="138">
        <f>D152+D164+D170</f>
        <v>1941.353783011119</v>
      </c>
      <c r="E241" s="138">
        <f>E152+E164+E170</f>
        <v>1950.0477399334761</v>
      </c>
      <c r="F241" s="138">
        <f>F152+F164+F170</f>
        <v>2010.6557575949464</v>
      </c>
      <c r="G241" s="127"/>
      <c r="H241" s="145"/>
      <c r="I241" s="2"/>
    </row>
    <row r="242" ht="15.75">
      <c r="A242" s="135"/>
      <c r="B242" s="157" t="s">
        <v>264</v>
      </c>
      <c r="C242" s="137">
        <f>C240-C241</f>
        <v>-27.681230693609677</v>
      </c>
      <c r="D242" s="137">
        <f>D240-D241</f>
        <v>-25.444752855263005</v>
      </c>
      <c r="E242" s="137">
        <f>E240-E241</f>
        <v>-1.7886212602254545</v>
      </c>
      <c r="F242" s="137">
        <f>F240-F241</f>
        <v>14.61348536633659</v>
      </c>
      <c r="G242" s="127"/>
      <c r="H242" s="145"/>
      <c r="I242" s="2"/>
    </row>
    <row r="243" ht="15.75">
      <c r="A243" s="135"/>
      <c r="B243" s="157" t="s">
        <v>267</v>
      </c>
      <c r="C243" s="131">
        <f>C242-SUM(C227:C229)</f>
        <v>1.4210854715202004e-13</v>
      </c>
      <c r="D243" s="131">
        <f>D242-SUM(D227:D229)</f>
        <v>-5.6843418860808015e-14</v>
      </c>
      <c r="E243" s="131">
        <f>E242-SUM(E227:E229)</f>
        <v>2.8421709430404007e-14</v>
      </c>
      <c r="F243" s="131">
        <f>F242-SUM(F227:F229)</f>
        <v>1.8474111129762605e-13</v>
      </c>
      <c r="G243" s="131"/>
      <c r="H243" s="145"/>
      <c r="I243" s="2"/>
    </row>
    <row r="244" ht="15.75">
      <c r="A244" s="135"/>
      <c r="B244" s="157" t="s">
        <v>268</v>
      </c>
      <c r="C244" s="131">
        <f>C242-C239</f>
        <v>-232.98624245731548</v>
      </c>
      <c r="D244" s="131" t="e">
        <f>D242-D239</f>
        <v>#N/A</v>
      </c>
      <c r="E244" s="131" t="e">
        <f>E242-E239</f>
        <v>#N/A</v>
      </c>
      <c r="F244" s="131" t="e">
        <f>F242-F239</f>
        <v>#N/A</v>
      </c>
      <c r="G244" s="131"/>
      <c r="H244" s="145"/>
      <c r="I244" s="2"/>
    </row>
    <row r="245" ht="15.75">
      <c r="A245" s="135"/>
      <c r="B245" s="157"/>
      <c r="C245" s="157"/>
      <c r="D245" s="138"/>
      <c r="E245" s="138"/>
      <c r="F245" s="138"/>
      <c r="G245" s="127"/>
      <c r="H245" s="145"/>
      <c r="I245" s="2"/>
    </row>
    <row r="246" ht="15.75">
      <c r="A246" s="135"/>
      <c r="B246" s="157" t="s">
        <v>269</v>
      </c>
      <c r="C246" s="157"/>
      <c r="D246" s="147"/>
      <c r="E246" s="147"/>
      <c r="F246" s="147"/>
      <c r="G246" s="127"/>
      <c r="H246" s="145"/>
      <c r="I246" s="2"/>
    </row>
    <row r="247" ht="15.75">
      <c r="A247" s="135"/>
      <c r="B247" s="160" t="s">
        <v>228</v>
      </c>
      <c r="C247" s="129">
        <v>2016</v>
      </c>
      <c r="D247" s="129">
        <v>2017</v>
      </c>
      <c r="E247" s="129">
        <v>2018</v>
      </c>
      <c r="F247" s="129">
        <v>2019</v>
      </c>
      <c r="G247" s="129" t="s">
        <v>7</v>
      </c>
      <c r="H247" s="130" t="s">
        <v>229</v>
      </c>
      <c r="I247" s="2"/>
    </row>
    <row r="248" ht="17.25">
      <c r="A248" s="135"/>
      <c r="B248" s="161" t="s">
        <v>270</v>
      </c>
      <c r="C248" s="162">
        <f>C220+C221-C260</f>
        <v>180.83564077618107</v>
      </c>
      <c r="D248" s="162">
        <f>D220+D221-D222</f>
        <v>271.68985915890005</v>
      </c>
      <c r="E248" s="162">
        <f>E220+E221-E222</f>
        <v>304.87650952983199</v>
      </c>
      <c r="F248" s="162">
        <f>F220+F221-F222</f>
        <v>337.3351506961526</v>
      </c>
      <c r="G248" s="154">
        <f>SUM(C248:F248)</f>
        <v>1094.7371601610657</v>
      </c>
      <c r="H248" s="145"/>
      <c r="I248" s="2"/>
    </row>
    <row r="249" ht="15.75">
      <c r="A249" s="135"/>
      <c r="B249" s="147" t="s">
        <v>271</v>
      </c>
      <c r="C249" s="138">
        <f>C220+C221-C260</f>
        <v>180.83564077618107</v>
      </c>
      <c r="D249" s="138">
        <f>D220+0.75*D221</f>
        <v>265.87841685942504</v>
      </c>
      <c r="E249" s="138">
        <f>E220+0.75*E221</f>
        <v>291.10636349687803</v>
      </c>
      <c r="F249" s="138">
        <f>F220+0.75*F221</f>
        <v>315.29927294162491</v>
      </c>
      <c r="G249" s="154" t="e">
        <f>#N/A</f>
        <v>#N/A</v>
      </c>
      <c r="H249" s="145"/>
      <c r="I249" s="2"/>
    </row>
    <row r="250" ht="17.25">
      <c r="A250" s="135"/>
      <c r="B250" s="161" t="s">
        <v>272</v>
      </c>
      <c r="C250" s="162">
        <f>C224+C227-C260</f>
        <v>179.94732825138979</v>
      </c>
      <c r="D250" s="162">
        <f>D224+D227-C222</f>
        <v>337.35797803612729</v>
      </c>
      <c r="E250" s="162">
        <f>E224+E227-D222</f>
        <v>318.93781457390719</v>
      </c>
      <c r="F250" s="162">
        <f>F224+F227-E222</f>
        <v>297.08484214223819</v>
      </c>
      <c r="G250" s="154" t="e">
        <f>#N/A</f>
        <v>#N/A</v>
      </c>
      <c r="H250" s="145"/>
      <c r="I250" s="2"/>
    </row>
    <row r="251" ht="15.75">
      <c r="A251" s="135"/>
      <c r="B251" s="147" t="s">
        <v>273</v>
      </c>
      <c r="C251" s="138">
        <f>C224+C227-C260</f>
        <v>179.94732825138979</v>
      </c>
      <c r="D251" s="138">
        <f>D224+D227-C221*0.25</f>
        <v>337.67104589208202</v>
      </c>
      <c r="E251" s="138">
        <f>E224+E227-D221*0.25</f>
        <v>313.12637227443219</v>
      </c>
      <c r="F251" s="138">
        <f>F224+F227-E221*0.25</f>
        <v>283.31469610928423</v>
      </c>
      <c r="G251" s="154" t="e">
        <f>#N/A</f>
        <v>#N/A</v>
      </c>
      <c r="H251" s="145"/>
      <c r="I251" s="2"/>
    </row>
    <row r="252" ht="15.75">
      <c r="A252" s="135"/>
      <c r="B252" s="163" t="s">
        <v>274</v>
      </c>
      <c r="C252" s="164">
        <f>C250-C251</f>
        <v>0</v>
      </c>
      <c r="D252" s="164">
        <f>D250-D251</f>
        <v>-0.31306785595472775</v>
      </c>
      <c r="E252" s="164">
        <f>E250-E251</f>
        <v>5.8114422994750043</v>
      </c>
      <c r="F252" s="164">
        <f>F250-F251</f>
        <v>13.77014603295396</v>
      </c>
      <c r="G252" s="154" t="e">
        <f>#N/A</f>
        <v>#N/A</v>
      </c>
      <c r="H252" s="145"/>
      <c r="I252" s="2"/>
    </row>
    <row r="253" ht="17.25">
      <c r="A253" s="135"/>
      <c r="B253" s="161" t="s">
        <v>275</v>
      </c>
      <c r="C253" s="162">
        <f>C224+C227-C260-(C230-C231)+(C232-C233)</f>
        <v>179.94732825138979</v>
      </c>
      <c r="D253" s="162">
        <f>D224+D227-C222-(D230-D231)+(D232-D233)</f>
        <v>337.35797803612729</v>
      </c>
      <c r="E253" s="162">
        <f>E224+E227-D222-(E230-E231)+(E232-E233)</f>
        <v>318.93781457390719</v>
      </c>
      <c r="F253" s="162">
        <f>F224+F227-E222-(F230-F231)+(F232-F233)</f>
        <v>297.08484214223819</v>
      </c>
      <c r="G253" s="154" t="e">
        <f>#N/A</f>
        <v>#N/A</v>
      </c>
      <c r="H253" s="145"/>
      <c r="I253" s="2"/>
    </row>
    <row r="254" ht="18.75">
      <c r="A254" s="135"/>
      <c r="B254" s="165" t="s">
        <v>273</v>
      </c>
      <c r="C254" s="166">
        <f>C224+C227-C260-(C230-C231)+(C232-C233)</f>
        <v>179.94732825138979</v>
      </c>
      <c r="D254" s="166">
        <f>D224+D227-0.25*C221-(D230-D231)+(D232-D233)</f>
        <v>337.67104589208202</v>
      </c>
      <c r="E254" s="166">
        <f>E224+E227-0.25*D221-(E230-E231)+(E232-E233)</f>
        <v>313.12637227443219</v>
      </c>
      <c r="F254" s="166">
        <f>F224+F227-0.25*E221-(F230-F231)+(F232-F233)</f>
        <v>283.31469610928423</v>
      </c>
      <c r="G254" s="154" t="e">
        <f>#N/A</f>
        <v>#N/A</v>
      </c>
      <c r="H254" s="2"/>
      <c r="I254" s="2"/>
    </row>
    <row r="255" ht="15.75">
      <c r="A255" s="135"/>
      <c r="B255" s="163" t="s">
        <v>274</v>
      </c>
      <c r="C255" s="164">
        <f>C253-C250</f>
        <v>0</v>
      </c>
      <c r="D255" s="164">
        <f>D253-D250</f>
        <v>0</v>
      </c>
      <c r="E255" s="164">
        <f>E253-E250</f>
        <v>0</v>
      </c>
      <c r="F255" s="164">
        <f>F253-F250</f>
        <v>0</v>
      </c>
      <c r="G255" s="154" t="e">
        <f>#N/A</f>
        <v>#N/A</v>
      </c>
      <c r="H255" s="145"/>
      <c r="I255" s="2"/>
    </row>
    <row r="256" ht="17.25">
      <c r="A256" s="125"/>
      <c r="B256" s="161" t="s">
        <v>276</v>
      </c>
      <c r="C256" s="162">
        <f>MAX(C253,C248)</f>
        <v>180.83564077618107</v>
      </c>
      <c r="D256" s="162">
        <f>MAX(D253,D248)</f>
        <v>337.35797803612729</v>
      </c>
      <c r="E256" s="162">
        <f>MAX(E253,E248)</f>
        <v>318.93781457390719</v>
      </c>
      <c r="F256" s="162">
        <f>MAX(F253,F248)</f>
        <v>337.3351506961526</v>
      </c>
      <c r="G256" s="154" t="e">
        <f>#N/A</f>
        <v>#N/A</v>
      </c>
      <c r="H256" s="145"/>
      <c r="I256" s="2"/>
    </row>
    <row r="257" ht="15.75">
      <c r="A257" s="125"/>
      <c r="B257" s="147" t="s">
        <v>277</v>
      </c>
      <c r="C257" s="138">
        <f>MAX(C251,C249)</f>
        <v>180.83564077618107</v>
      </c>
      <c r="D257" s="138">
        <f>MAX(D251,D249)</f>
        <v>337.67104589208202</v>
      </c>
      <c r="E257" s="138">
        <f>MAX(E251,E249)</f>
        <v>313.12637227443219</v>
      </c>
      <c r="F257" s="138">
        <f>MAX(F251,F249)</f>
        <v>315.29927294162491</v>
      </c>
      <c r="G257" s="154" t="e">
        <f>#N/A</f>
        <v>#N/A</v>
      </c>
      <c r="H257" s="145"/>
      <c r="I257" s="2"/>
    </row>
    <row r="258" ht="15.75">
      <c r="A258" s="125"/>
      <c r="B258" s="147"/>
      <c r="C258" s="138"/>
      <c r="D258" s="138"/>
      <c r="E258" s="138"/>
      <c r="F258" s="138"/>
      <c r="G258" s="154" t="e">
        <f>#N/A</f>
        <v>#N/A</v>
      </c>
      <c r="H258" s="128"/>
      <c r="I258" s="2"/>
    </row>
    <row r="259" ht="15.75">
      <c r="A259" s="125"/>
      <c r="B259" s="157" t="s">
        <v>278</v>
      </c>
      <c r="C259" s="137">
        <f>MAX(0,3-C236)*C235</f>
        <v>347.08882973939387</v>
      </c>
      <c r="D259" s="137">
        <f>MAX(0,3-D236)*D235</f>
        <v>606.36443556201004</v>
      </c>
      <c r="E259" s="137">
        <f>MAX(0,3-E236)*E235</f>
        <v>776.72007516054157</v>
      </c>
      <c r="F259" s="137">
        <f>MAX(0,3-F236)*F235</f>
        <v>999.4946888670504</v>
      </c>
      <c r="G259" s="154" t="e">
        <f>#N/A</f>
        <v>#N/A</v>
      </c>
      <c r="H259" s="128"/>
      <c r="I259" s="2"/>
    </row>
    <row r="260" ht="15.75">
      <c r="A260" s="125"/>
      <c r="B260" s="152" t="s">
        <v>279</v>
      </c>
      <c r="C260" s="152">
        <v>0</v>
      </c>
      <c r="D260" s="167"/>
      <c r="E260" s="147"/>
      <c r="F260" s="143"/>
      <c r="G260" s="143"/>
      <c r="H260" s="128"/>
      <c r="I260" s="2"/>
    </row>
    <row r="261" ht="15.75">
      <c r="A261" s="125"/>
      <c r="B261" s="168" t="s">
        <v>280</v>
      </c>
      <c r="C261" s="169" t="s">
        <v>281</v>
      </c>
      <c r="D261" s="169"/>
      <c r="E261" s="143"/>
      <c r="F261" s="143"/>
      <c r="G261" s="143"/>
      <c r="H261" s="128"/>
      <c r="I261" s="2"/>
    </row>
    <row r="262" ht="15.75">
      <c r="A262" s="125"/>
      <c r="B262" s="143"/>
      <c r="C262" s="143"/>
      <c r="D262" s="143"/>
      <c r="E262" s="143"/>
      <c r="F262" s="143"/>
      <c r="G262" s="143"/>
      <c r="H262" s="128"/>
      <c r="I262" s="2"/>
    </row>
    <row r="263" ht="15.75">
      <c r="A263" s="125"/>
      <c r="B263" s="126" t="s">
        <v>282</v>
      </c>
      <c r="C263" s="126"/>
      <c r="D263" s="127"/>
      <c r="E263" s="127"/>
      <c r="F263" s="127"/>
      <c r="G263" s="127"/>
      <c r="H263" s="128"/>
      <c r="I263" s="2"/>
    </row>
    <row r="264" ht="15.75">
      <c r="A264" s="125"/>
      <c r="B264" s="129" t="s">
        <v>228</v>
      </c>
      <c r="C264" s="129">
        <v>2016</v>
      </c>
      <c r="D264" s="129">
        <v>2017</v>
      </c>
      <c r="E264" s="129">
        <v>2018</v>
      </c>
      <c r="F264" s="129">
        <v>2019</v>
      </c>
      <c r="G264" s="129" t="s">
        <v>7</v>
      </c>
      <c r="H264" s="130" t="s">
        <v>229</v>
      </c>
      <c r="I264" s="2"/>
    </row>
    <row r="265" ht="45">
      <c r="A265" s="125"/>
      <c r="B265" s="161" t="s">
        <v>283</v>
      </c>
      <c r="C265" s="170">
        <f t="shared" ref="C265:C266" si="7">C75</f>
        <v>253.26511815999999</v>
      </c>
      <c r="D265" s="170" t="e">
        <f>#N/A</f>
        <v>#N/A</v>
      </c>
      <c r="E265" s="170" t="e">
        <f>#N/A</f>
        <v>#N/A</v>
      </c>
      <c r="F265" s="170" t="e">
        <f>#N/A</f>
        <v>#N/A</v>
      </c>
      <c r="G265" s="154" t="e">
        <f t="shared" ref="G265:G269" si="8">SUM(C265:F265)</f>
        <v>#N/A</v>
      </c>
      <c r="H265" s="171" t="s">
        <v>284</v>
      </c>
      <c r="I265" s="2"/>
    </row>
    <row r="266" ht="15.75">
      <c r="A266" s="125"/>
      <c r="B266" s="172" t="s">
        <v>285</v>
      </c>
      <c r="C266" s="173">
        <f t="shared" si="7"/>
        <v>191.26511815999999</v>
      </c>
      <c r="D266" s="173" t="e">
        <f>#N/A</f>
        <v>#N/A</v>
      </c>
      <c r="E266" s="173" t="e">
        <f>#N/A</f>
        <v>#N/A</v>
      </c>
      <c r="F266" s="173" t="e">
        <f>#N/A</f>
        <v>#N/A</v>
      </c>
      <c r="G266" s="154" t="e">
        <f t="shared" si="8"/>
        <v>#N/A</v>
      </c>
      <c r="H266" s="128"/>
      <c r="I266" s="2"/>
    </row>
    <row r="267" ht="15.75">
      <c r="A267" s="125"/>
      <c r="B267" s="152" t="s">
        <v>286</v>
      </c>
      <c r="C267" s="174">
        <f>C86</f>
        <v>146.50517983050847</v>
      </c>
      <c r="D267" s="174">
        <f>D86</f>
        <v>210.55183895000002</v>
      </c>
      <c r="E267" s="174">
        <f>E86</f>
        <v>202.79312056779702</v>
      </c>
      <c r="F267" s="174">
        <f>F86</f>
        <v>117.84736340231338</v>
      </c>
      <c r="G267" s="154">
        <f t="shared" si="8"/>
        <v>677.69750275061881</v>
      </c>
      <c r="H267" s="128"/>
      <c r="I267" s="2"/>
    </row>
    <row r="268" ht="15.75">
      <c r="A268" s="125"/>
      <c r="B268" s="172" t="s">
        <v>287</v>
      </c>
      <c r="C268" s="173">
        <f t="shared" ref="C268:C269" si="9">C94</f>
        <v>62</v>
      </c>
      <c r="D268" s="173" t="e">
        <f>#N/A</f>
        <v>#N/A</v>
      </c>
      <c r="E268" s="173" t="e">
        <f>#N/A</f>
        <v>#N/A</v>
      </c>
      <c r="F268" s="173" t="e">
        <f>#N/A</f>
        <v>#N/A</v>
      </c>
      <c r="G268" s="154" t="e">
        <f t="shared" si="8"/>
        <v>#N/A</v>
      </c>
      <c r="H268" s="128"/>
      <c r="I268" s="2"/>
    </row>
    <row r="269" ht="15.75">
      <c r="A269" s="125"/>
      <c r="B269" s="152" t="s">
        <v>288</v>
      </c>
      <c r="C269" s="173">
        <f t="shared" si="9"/>
        <v>62</v>
      </c>
      <c r="D269" s="173" t="e">
        <f>#N/A</f>
        <v>#N/A</v>
      </c>
      <c r="E269" s="173" t="e">
        <f>#N/A</f>
        <v>#N/A</v>
      </c>
      <c r="F269" s="173" t="e">
        <f>#N/A</f>
        <v>#N/A</v>
      </c>
      <c r="G269" s="154" t="e">
        <f t="shared" si="8"/>
        <v>#N/A</v>
      </c>
      <c r="H269" s="128"/>
      <c r="I269" s="2"/>
    </row>
    <row r="270" ht="15.75">
      <c r="A270" s="125"/>
      <c r="B270" s="147" t="s">
        <v>289</v>
      </c>
      <c r="C270" s="175">
        <f>C266/C265</f>
        <v>0.75519723975241015</v>
      </c>
      <c r="D270" s="175" t="e">
        <f>D266/D265</f>
        <v>#N/A</v>
      </c>
      <c r="E270" s="175" t="e">
        <f>E266/E265</f>
        <v>#N/A</v>
      </c>
      <c r="F270" s="175" t="e">
        <f>F266/F265</f>
        <v>#N/A</v>
      </c>
      <c r="G270" s="175" t="e">
        <f>G266/G265</f>
        <v>#N/A</v>
      </c>
      <c r="H270" s="128"/>
      <c r="I270" s="2"/>
    </row>
    <row r="271" ht="15.75">
      <c r="A271" s="125"/>
      <c r="B271" s="147" t="s">
        <v>290</v>
      </c>
      <c r="C271" s="175">
        <f>C268/C265</f>
        <v>0.24480276024758987</v>
      </c>
      <c r="D271" s="175" t="e">
        <f>D268/D265</f>
        <v>#N/A</v>
      </c>
      <c r="E271" s="175" t="e">
        <f>E268/E265</f>
        <v>#N/A</v>
      </c>
      <c r="F271" s="175" t="e">
        <f>F268/F265</f>
        <v>#N/A</v>
      </c>
      <c r="G271" s="175" t="e">
        <f>G268/G265</f>
        <v>#N/A</v>
      </c>
      <c r="H271" s="128"/>
      <c r="I271" s="2"/>
    </row>
    <row r="272" ht="15.75">
      <c r="A272" s="125"/>
      <c r="B272" s="147"/>
      <c r="C272" s="127"/>
      <c r="D272" s="127"/>
      <c r="E272" s="127"/>
      <c r="F272" s="127"/>
      <c r="G272" s="176"/>
      <c r="H272" s="128"/>
      <c r="I272" s="2"/>
    </row>
    <row r="273" ht="45">
      <c r="A273" s="125"/>
      <c r="B273" s="157" t="s">
        <v>291</v>
      </c>
      <c r="C273" s="177">
        <v>257.17000000000002</v>
      </c>
      <c r="D273" s="177">
        <v>222.11000000000001</v>
      </c>
      <c r="E273" s="177">
        <v>228.37</v>
      </c>
      <c r="F273" s="124"/>
      <c r="G273" s="178">
        <f>SUM(C273:E273)</f>
        <v>707.65000000000009</v>
      </c>
      <c r="H273" s="171" t="s">
        <v>292</v>
      </c>
      <c r="I273" s="2"/>
    </row>
    <row r="274" ht="15.75">
      <c r="A274" s="125"/>
      <c r="B274" s="147" t="s">
        <v>293</v>
      </c>
      <c r="C274" s="179">
        <f>C265-C273</f>
        <v>-3.90488184000003</v>
      </c>
      <c r="D274" s="179" t="e">
        <f>D265-D273</f>
        <v>#N/A</v>
      </c>
      <c r="E274" s="179" t="e">
        <f>E265-E273</f>
        <v>#N/A</v>
      </c>
      <c r="F274" s="179"/>
      <c r="G274" s="178" t="e">
        <f>SUM(D274:F274)</f>
        <v>#N/A</v>
      </c>
      <c r="H274" s="128"/>
      <c r="I274" s="2"/>
    </row>
    <row r="275" ht="15.75">
      <c r="A275" s="125"/>
      <c r="B275" s="147" t="s">
        <v>293</v>
      </c>
      <c r="C275" s="175">
        <f>C265/C273-1</f>
        <v>-0.015184048839289255</v>
      </c>
      <c r="D275" s="175" t="e">
        <f>D265/D273-1</f>
        <v>#N/A</v>
      </c>
      <c r="E275" s="175" t="e">
        <f>E265/E273-1</f>
        <v>#N/A</v>
      </c>
      <c r="F275" s="175"/>
      <c r="G275" s="180" t="e">
        <f>SUM(C265:E265)/SUM(C273:E273)</f>
        <v>#N/A</v>
      </c>
      <c r="H275" s="128"/>
      <c r="I275" s="2"/>
    </row>
    <row r="276" ht="15.75">
      <c r="A276" s="125"/>
      <c r="B276" s="127"/>
      <c r="C276" s="181">
        <f>C269-C233</f>
        <v>0</v>
      </c>
      <c r="D276" s="181" t="e">
        <f>D269-D233</f>
        <v>#N/A</v>
      </c>
      <c r="E276" s="181" t="e">
        <f>E269-E233</f>
        <v>#N/A</v>
      </c>
      <c r="F276" s="181" t="e">
        <f>F269-F233</f>
        <v>#N/A</v>
      </c>
      <c r="G276" s="127"/>
      <c r="H276" s="128"/>
      <c r="I276" s="2"/>
    </row>
    <row r="277" ht="47.25">
      <c r="A277" s="125"/>
      <c r="B277" s="182" t="s">
        <v>294</v>
      </c>
      <c r="C277" s="181">
        <f>C267-C248</f>
        <v>-34.330460945672598</v>
      </c>
      <c r="D277" s="181">
        <f>D267-D248</f>
        <v>-61.138020208900031</v>
      </c>
      <c r="E277" s="181">
        <f>E267-E248</f>
        <v>-102.08338896203497</v>
      </c>
      <c r="F277" s="181">
        <f>F267-F248</f>
        <v>-219.48778729383923</v>
      </c>
      <c r="G277" s="127"/>
      <c r="H277" s="183" t="s">
        <v>295</v>
      </c>
      <c r="I277" s="2"/>
    </row>
    <row r="278" ht="15.75">
      <c r="A278" s="184"/>
      <c r="B278" s="147" t="s">
        <v>296</v>
      </c>
      <c r="C278" s="138">
        <f>C267-C220</f>
        <v>-35.582732369491481</v>
      </c>
      <c r="D278" s="138">
        <f>D267-D220</f>
        <v>-37.892251010999985</v>
      </c>
      <c r="E278" s="138">
        <f>E267-E220</f>
        <v>-46.305431436202952</v>
      </c>
      <c r="F278" s="138">
        <f>F267-F220</f>
        <v>-129.66396321488662</v>
      </c>
      <c r="G278" s="127"/>
      <c r="H278" s="128"/>
      <c r="I278" s="2"/>
    </row>
    <row r="279" ht="270">
      <c r="A279" s="184"/>
      <c r="B279" s="182" t="s">
        <v>297</v>
      </c>
      <c r="C279" s="181">
        <f>C266-C254</f>
        <v>11.317789908610195</v>
      </c>
      <c r="D279" s="181" t="e">
        <f>D266-D254</f>
        <v>#N/A</v>
      </c>
      <c r="E279" s="181" t="e">
        <f>E266-E254</f>
        <v>#N/A</v>
      </c>
      <c r="F279" s="181" t="e">
        <f>F266-F254</f>
        <v>#N/A</v>
      </c>
      <c r="G279" s="127"/>
      <c r="H279" s="145" t="s">
        <v>298</v>
      </c>
      <c r="I279" s="102"/>
    </row>
    <row r="280" ht="31.5">
      <c r="A280" s="184"/>
      <c r="B280" s="182" t="s">
        <v>299</v>
      </c>
      <c r="C280" s="181">
        <f>C266-C256</f>
        <v>10.42947738381892</v>
      </c>
      <c r="D280" s="181" t="e">
        <f>D266-D256</f>
        <v>#N/A</v>
      </c>
      <c r="E280" s="181" t="e">
        <f>E266-E256</f>
        <v>#N/A</v>
      </c>
      <c r="F280" s="181" t="e">
        <f>F266-F256</f>
        <v>#N/A</v>
      </c>
      <c r="G280" s="127"/>
      <c r="H280" s="128"/>
      <c r="I280" s="2"/>
    </row>
    <row r="281" ht="15.75">
      <c r="A281" s="184"/>
      <c r="B281" s="127"/>
      <c r="C281" s="127"/>
      <c r="D281" s="127"/>
      <c r="E281" s="127"/>
      <c r="F281" s="127"/>
      <c r="G281" s="127"/>
      <c r="H281" s="128"/>
      <c r="I281" s="2"/>
    </row>
    <row r="282" ht="15.75">
      <c r="A282" s="184"/>
      <c r="B282" s="128"/>
      <c r="C282" s="128"/>
      <c r="D282" s="128"/>
      <c r="E282" s="128"/>
      <c r="F282" s="128"/>
      <c r="G282" s="128"/>
      <c r="H282" s="128"/>
      <c r="I282" s="2"/>
    </row>
    <row r="283" ht="15.75">
      <c r="A283" s="184"/>
      <c r="B283" s="127"/>
      <c r="C283" s="127"/>
      <c r="D283" s="127"/>
      <c r="E283" s="127"/>
      <c r="F283" s="127"/>
      <c r="G283" s="127"/>
      <c r="H283" s="128"/>
      <c r="I283" s="2"/>
    </row>
    <row r="284" ht="15.75">
      <c r="A284" s="184"/>
      <c r="B284" s="126" t="s">
        <v>300</v>
      </c>
      <c r="C284" s="126"/>
      <c r="D284" s="127"/>
      <c r="E284" s="127"/>
      <c r="F284" s="127"/>
      <c r="G284" s="127"/>
      <c r="H284" s="128"/>
      <c r="I284" s="2"/>
    </row>
    <row r="285" ht="15.75">
      <c r="A285" s="184"/>
      <c r="B285" s="129"/>
      <c r="C285" s="129">
        <v>2016</v>
      </c>
      <c r="D285" s="129">
        <v>2017</v>
      </c>
      <c r="E285" s="129">
        <v>2018</v>
      </c>
      <c r="F285" s="129">
        <v>2019</v>
      </c>
      <c r="G285" s="129" t="s">
        <v>7</v>
      </c>
      <c r="H285" s="130" t="s">
        <v>229</v>
      </c>
      <c r="I285" s="2"/>
    </row>
    <row r="286" ht="15.75">
      <c r="A286" s="184"/>
      <c r="B286" s="127" t="s">
        <v>301</v>
      </c>
      <c r="C286" s="127"/>
      <c r="D286" s="185">
        <f>D4/C4-1</f>
        <v>0.069303068637110776</v>
      </c>
      <c r="E286" s="185">
        <f>E4/D4-1</f>
        <v>0.0078666798850908215</v>
      </c>
      <c r="F286" s="185">
        <f>F4/E4-1</f>
        <v>0.040254511562506146</v>
      </c>
      <c r="G286" s="127"/>
      <c r="H286" s="186" t="s">
        <v>302</v>
      </c>
      <c r="I286" s="2"/>
    </row>
    <row r="287" ht="15.75">
      <c r="A287" s="184"/>
      <c r="B287" s="127" t="s">
        <v>303</v>
      </c>
      <c r="C287" s="127"/>
      <c r="D287" s="185" t="e">
        <f>#N/A</f>
        <v>#N/A</v>
      </c>
      <c r="E287" s="185" t="e">
        <f>#N/A</f>
        <v>#N/A</v>
      </c>
      <c r="F287" s="185" t="e">
        <f>#N/A</f>
        <v>#N/A</v>
      </c>
      <c r="G287" s="127"/>
      <c r="H287" s="186"/>
      <c r="I287" s="2"/>
    </row>
    <row r="288" ht="15.75">
      <c r="A288" s="184"/>
      <c r="B288" s="127" t="s">
        <v>304</v>
      </c>
      <c r="C288" s="127"/>
      <c r="D288" s="185" t="e">
        <f>#N/A</f>
        <v>#N/A</v>
      </c>
      <c r="E288" s="185" t="e">
        <f>#N/A</f>
        <v>#N/A</v>
      </c>
      <c r="F288" s="185" t="e">
        <f>#N/A</f>
        <v>#N/A</v>
      </c>
      <c r="G288" s="127"/>
      <c r="H288" s="186"/>
      <c r="I288" s="2"/>
    </row>
    <row r="289" ht="15.75">
      <c r="A289" s="184"/>
      <c r="B289" s="187" t="s">
        <v>305</v>
      </c>
      <c r="C289" s="127"/>
      <c r="D289" s="185">
        <f>D13/C13-1</f>
        <v>0.090712082435820074</v>
      </c>
      <c r="E289" s="185">
        <f>E13/D13-1</f>
        <v>0.081971172121630964</v>
      </c>
      <c r="F289" s="185">
        <f>F13/E13-1</f>
        <v>0.081032646456814295</v>
      </c>
      <c r="G289" s="127"/>
      <c r="H289" s="186"/>
      <c r="I289" s="2"/>
    </row>
    <row r="290" ht="15.75">
      <c r="A290" s="184"/>
      <c r="B290" s="187" t="s">
        <v>19</v>
      </c>
      <c r="C290" s="127"/>
      <c r="D290" s="185">
        <f>D11/C11-1</f>
        <v>0.034122170076423153</v>
      </c>
      <c r="E290" s="185">
        <f>E11/D11-1</f>
        <v>0.034146766827441999</v>
      </c>
      <c r="F290" s="185">
        <f>F11/E11-1</f>
        <v>0.037011518971863389</v>
      </c>
      <c r="G290" s="127"/>
      <c r="H290" s="186"/>
      <c r="I290" s="2"/>
    </row>
    <row r="291" ht="15.75">
      <c r="A291" s="184"/>
      <c r="B291" s="127" t="s">
        <v>306</v>
      </c>
      <c r="C291" s="127"/>
      <c r="D291" s="185">
        <f>D14/C14-1</f>
        <v>0.038000000000000034</v>
      </c>
      <c r="E291" s="185">
        <f>E14/D14-1</f>
        <v>0.044999999999999929</v>
      </c>
      <c r="F291" s="185">
        <f>F14/E14-1</f>
        <v>0.05500000000000016</v>
      </c>
      <c r="G291" s="127"/>
      <c r="H291" s="186"/>
      <c r="I291" s="2"/>
    </row>
    <row r="292" ht="15.75">
      <c r="A292" s="184"/>
      <c r="B292" s="147" t="s">
        <v>307</v>
      </c>
      <c r="C292" s="188">
        <f>C40/C4</f>
        <v>0.029343528118718491</v>
      </c>
      <c r="D292" s="188">
        <f>D40/D4</f>
        <v>0.015841588630601124</v>
      </c>
      <c r="E292" s="188">
        <f>E40/E4</f>
        <v>0.01321500305700974</v>
      </c>
      <c r="F292" s="188">
        <f>F40/F4</f>
        <v>0.029864796921235438</v>
      </c>
      <c r="G292" s="127"/>
      <c r="H292" s="189"/>
      <c r="I292" s="2"/>
    </row>
    <row r="293" ht="63">
      <c r="A293" s="184"/>
      <c r="B293" s="147"/>
      <c r="C293" s="147"/>
      <c r="D293" s="190"/>
      <c r="E293" s="190"/>
      <c r="F293" s="190"/>
      <c r="G293" s="127"/>
      <c r="H293" s="191" t="s">
        <v>308</v>
      </c>
      <c r="I293" s="2"/>
    </row>
    <row r="294" ht="15.75">
      <c r="A294" s="184"/>
      <c r="B294" s="127"/>
      <c r="C294" s="127"/>
      <c r="D294" s="127"/>
      <c r="E294" s="127"/>
      <c r="F294" s="127"/>
      <c r="G294" s="127"/>
      <c r="H294" s="192"/>
      <c r="I294" s="2"/>
    </row>
  </sheetData>
  <mergeCells count="6">
    <mergeCell ref="A1:G1"/>
    <mergeCell ref="A72:G73"/>
    <mergeCell ref="A122:G123"/>
    <mergeCell ref="H198:H199"/>
    <mergeCell ref="H204:H207"/>
    <mergeCell ref="H286:H291"/>
  </mergeCells>
  <conditionalFormatting sqref="C292:F292">
    <cfRule type="colorScale" priority="11"/>
  </conditionalFormatting>
  <conditionalFormatting sqref="C236:F236">
    <cfRule type="colorScale" priority="10"/>
  </conditionalFormatting>
  <conditionalFormatting sqref="C236:F236">
    <cfRule type="colorScale" priority="9"/>
  </conditionalFormatting>
  <conditionalFormatting sqref="D292:F293 C292">
    <cfRule type="colorScale" priority="8"/>
  </conditionalFormatting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14" operator="greaterThan" stopIfTrue="1" id="{0094001E-0039-4708-BFDD-00B6003B003E}">
            <xm:f>0</xm:f>
            <x14:dxf>
              <font>
                <color indexed="20"/>
              </font>
              <fill>
                <patternFill patternType="solid">
                  <fgColor rgb="FFD6AA34"/>
                  <bgColor rgb="FFD6AA34"/>
                </patternFill>
              </fill>
            </x14:dxf>
          </x14:cfRule>
          <xm:sqref>C191:G192 H200 D245:F245 C226:G226 C255:F255 G196:G200 C252:F252 C197:F200 C204:G210 C214:G216</xm:sqref>
        </x14:conditionalFormatting>
        <x14:conditionalFormatting xmlns:xm="http://schemas.microsoft.com/office/excel/2006/main">
          <x14:cfRule type="cellIs" priority="13" operator="lessThan" stopIfTrue="1" id="{000200BD-003D-4496-92B4-00F1009E00FC}">
            <xm:f>0</xm:f>
            <x14:dxf>
              <font>
                <color indexed="20"/>
              </font>
              <fill>
                <patternFill patternType="solid">
                  <fgColor rgb="FFD6AA34"/>
                  <bgColor rgb="FFD6AA34"/>
                </patternFill>
              </fill>
            </x14:dxf>
          </x14:cfRule>
          <xm:sqref>C191:G192 H200 D245:F245 C226:G226 C255:F255 G196:G200 C252:F252 C197:F200 C204:G210 C214:G216</xm:sqref>
        </x14:conditionalFormatting>
        <x14:conditionalFormatting xmlns:xm="http://schemas.microsoft.com/office/excel/2006/main">
          <x14:cfRule type="cellIs" priority="12" operator="lessThan" stopIfTrue="1" id="{007700DE-0010-4816-BFE0-004F00B100FB}">
            <xm:f>0.25</xm:f>
            <x14:dxf>
              <font>
                <color indexed="20"/>
              </font>
              <fill>
                <patternFill patternType="solid">
                  <fgColor rgb="FFD6AA34"/>
                  <bgColor rgb="FFD6AA34"/>
                </patternFill>
              </fill>
            </x14:dxf>
          </x14:cfRule>
          <xm:sqref>C223:G223</xm:sqref>
        </x14:conditionalFormatting>
        <x14:conditionalFormatting xmlns:xm="http://schemas.microsoft.com/office/excel/2006/main">
          <x14:cfRule type="dataBar" priority="12" id="{00530085-00D1-4A15-8C61-00EF00F0002D}">
            <x14:dataBar maxLength="90" minLength="10" axisPosition="automatic" direction="context">
              <x14:fillColor rgb="FF008AEF"/>
            </x14:dataBar>
          </x14:cfRule>
          <xm:sqref>D286:F291</xm:sqref>
        </x14:conditionalFormatting>
        <x14:conditionalFormatting xmlns:xm="http://schemas.microsoft.com/office/excel/2006/main">
          <x14:cfRule type="cellIs" priority="11" operator="greaterThan" stopIfTrue="1" id="{007100A8-0019-4875-800C-00FB003C000C}">
            <xm:f>0.25</xm:f>
            <x14:dxf>
              <font>
                <color indexed="60"/>
              </font>
              <fill>
                <patternFill patternType="solid">
                  <fgColor rgb="FFD6AA34"/>
                  <bgColor rgb="FFD6AA34"/>
                </patternFill>
              </fill>
            </x14:dxf>
          </x14:cfRule>
          <xm:sqref>C223:G223</xm:sqref>
        </x14:conditionalFormatting>
        <x14:conditionalFormatting xmlns:xm="http://schemas.microsoft.com/office/excel/2006/main">
          <x14:cfRule type="cellIs" priority="10" operator="greaterThan" stopIfTrue="1" id="{00D20050-00F4-43D7-B233-0037009A00B8}">
            <xm:f>0</xm:f>
            <x14:dxf>
              <font>
                <color indexed="17"/>
              </font>
              <fill>
                <patternFill patternType="solid">
                  <fgColor rgb="FFD6AA34"/>
                  <bgColor rgb="FFD6AA34"/>
                </patternFill>
              </fill>
            </x14:dxf>
          </x14:cfRule>
          <xm:sqref>C259:F259</xm:sqref>
        </x14:conditionalFormatting>
        <x14:conditionalFormatting xmlns:xm="http://schemas.microsoft.com/office/excel/2006/main">
          <x14:cfRule type="cellIs" priority="9" operator="lessThan" stopIfTrue="1" id="{00DD0034-003B-49AF-A9F8-005D009F00A6}">
            <xm:f>0</xm:f>
            <x14:dxf>
              <font>
                <color indexed="20"/>
              </font>
              <fill>
                <patternFill patternType="solid">
                  <fgColor rgb="FFD6AA34"/>
                  <bgColor rgb="FFD6AA34"/>
                </patternFill>
              </fill>
            </x14:dxf>
          </x14:cfRule>
          <xm:sqref>C279:F280 C276:F277</xm:sqref>
        </x14:conditionalFormatting>
        <x14:conditionalFormatting xmlns:xm="http://schemas.microsoft.com/office/excel/2006/main">
          <x14:cfRule type="dataBar" priority="7" id="{00010094-00B4-4DF5-9898-002F0023002C}">
            <x14:dataBar maxLength="90" minLength="10" axisPosition="automatic" direction="context">
              <x14:fillColor rgb="FFFFB628"/>
            </x14:dataBar>
          </x14:cfRule>
          <xm:sqref>C270:G271</xm:sqref>
        </x14:conditionalFormatting>
        <x14:conditionalFormatting xmlns:xm="http://schemas.microsoft.com/office/excel/2006/main">
          <x14:cfRule type="cellIs" priority="2" operator="greaterThan" stopIfTrue="1" id="{006000D7-00BE-49A8-9594-0016008F00F0}">
            <xm:f>0</xm:f>
            <x14:dxf>
              <font>
                <color indexed="20"/>
              </font>
              <fill>
                <patternFill patternType="solid">
                  <fgColor rgb="FFD6AA34"/>
                  <bgColor rgb="FFD6AA34"/>
                </patternFill>
              </fill>
            </x14:dxf>
          </x14:cfRule>
          <xm:sqref>C243:G244</xm:sqref>
        </x14:conditionalFormatting>
        <x14:conditionalFormatting xmlns:xm="http://schemas.microsoft.com/office/excel/2006/main">
          <x14:cfRule type="cellIs" priority="1" operator="lessThan" stopIfTrue="1" id="{00A90002-00FE-4603-AB62-00AE000F0058}">
            <xm:f>0</xm:f>
            <x14:dxf>
              <font>
                <color indexed="20"/>
              </font>
              <fill>
                <patternFill patternType="solid">
                  <fgColor rgb="FFD6AA34"/>
                  <bgColor rgb="FFD6AA34"/>
                </patternFill>
              </fill>
            </x14:dxf>
          </x14:cfRule>
          <xm:sqref>C243:G244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showZeros="0" zoomScale="85" workbookViewId="0">
      <pane xSplit="4" ySplit="9" topLeftCell="E10" activePane="bottomRight" state="frozen"/>
      <selection activeCell="N196" activeCellId="0" sqref="N196"/>
    </sheetView>
  </sheetViews>
  <sheetFormatPr baseColWidth="8" defaultColWidth="10.2852" defaultRowHeight="15.75" customHeight="1"/>
  <cols>
    <col customWidth="1" min="1" max="1" style="193" width="10.140599999999999"/>
    <col customWidth="1" min="2" max="2" style="194" width="85.285200000000003"/>
    <col customWidth="1" min="3" max="3" style="195" width="12.2852"/>
    <col customWidth="1" hidden="1" min="4" max="4" style="195" width="14.140599999999999"/>
    <col bestFit="1" customWidth="1" min="5" max="5" style="196" width="10.710900000000001"/>
    <col customWidth="1" min="6" max="6" style="197" width="15.140599999999999"/>
    <col customWidth="1" min="7" max="8" style="197" width="15"/>
    <col customWidth="1" min="9" max="9" style="197" width="16"/>
    <col customWidth="1" min="10" max="10" style="197" width="18.2852"/>
    <col customWidth="1" min="11" max="11" style="197" width="20.140599999999999"/>
    <col customWidth="1" min="12" max="12" style="197" width="18.855499999999999"/>
    <col customWidth="1" min="13" max="13" style="197" width="20.140599999999999"/>
    <col customWidth="1" min="14" max="14" style="197" width="19.2852"/>
    <col customWidth="1" min="15" max="15" style="197" width="20.140599999999999"/>
    <col customWidth="1" min="16" max="16" style="197" width="18.855499999999999"/>
    <col customWidth="1" min="17" max="17" style="197" width="20.140599999999999"/>
    <col customWidth="1" min="18" max="18" style="197" width="16.710899999999999"/>
    <col customWidth="1" min="19" max="19" style="197" width="20.2852"/>
    <col customWidth="1" min="20" max="20" style="197" width="10.425800000000001"/>
    <col customWidth="1" min="21" max="21" style="197" width="8.1406200000000002"/>
    <col customWidth="1" min="22" max="22" style="197" width="10"/>
    <col customWidth="1" min="23" max="257" style="197" width="10.2852"/>
  </cols>
  <sheetData>
    <row r="1" ht="18.75">
      <c r="A1" s="198"/>
      <c r="B1" s="199"/>
      <c r="C1" s="200"/>
      <c r="D1" s="200"/>
      <c r="E1" s="201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3"/>
      <c r="S1" s="204"/>
      <c r="T1" s="205" t="s">
        <v>309</v>
      </c>
    </row>
    <row r="2" ht="18.75">
      <c r="A2" s="198"/>
      <c r="B2" s="199"/>
      <c r="C2" s="200"/>
      <c r="D2" s="200"/>
      <c r="E2" s="201"/>
      <c r="F2" s="202"/>
      <c r="G2" s="202"/>
      <c r="H2" s="202"/>
      <c r="I2" s="202"/>
      <c r="J2" s="202"/>
      <c r="K2" s="202"/>
      <c r="L2" s="202"/>
      <c r="M2" s="202"/>
      <c r="N2" s="202"/>
      <c r="O2" s="202"/>
      <c r="P2" s="202"/>
      <c r="Q2" s="202"/>
      <c r="R2" s="203"/>
      <c r="S2" s="204"/>
      <c r="T2" s="205" t="s">
        <v>310</v>
      </c>
    </row>
    <row r="3" ht="18.75">
      <c r="A3" s="198"/>
      <c r="B3" s="199"/>
      <c r="C3" s="200"/>
      <c r="D3" s="200"/>
      <c r="E3" s="201"/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3"/>
      <c r="S3" s="204"/>
      <c r="T3" s="205" t="s">
        <v>311</v>
      </c>
    </row>
    <row r="4" ht="17.25">
      <c r="A4" s="198"/>
      <c r="B4" s="199"/>
      <c r="C4" s="200"/>
      <c r="D4" s="200"/>
      <c r="E4" s="201"/>
      <c r="F4" s="202"/>
      <c r="G4" s="202"/>
      <c r="H4" s="202"/>
      <c r="I4" s="202"/>
      <c r="J4" s="202"/>
      <c r="K4" s="202"/>
      <c r="L4" s="202"/>
      <c r="M4" s="202"/>
      <c r="N4" s="202"/>
      <c r="O4" s="202"/>
      <c r="P4" s="202"/>
      <c r="Q4" s="202"/>
      <c r="R4" s="202"/>
      <c r="S4" s="206"/>
      <c r="T4" s="207"/>
    </row>
    <row r="5" ht="17.25">
      <c r="A5" s="198"/>
      <c r="B5" s="199"/>
      <c r="C5" s="200"/>
      <c r="D5" s="200"/>
      <c r="E5" s="201"/>
      <c r="F5" s="202"/>
      <c r="G5" s="202"/>
      <c r="H5" s="202"/>
      <c r="I5" s="202"/>
      <c r="J5" s="202"/>
      <c r="K5" s="202"/>
      <c r="L5" s="202"/>
      <c r="M5" s="202"/>
      <c r="N5" s="202"/>
      <c r="O5" s="202"/>
      <c r="P5" s="202"/>
      <c r="Q5" s="202"/>
      <c r="R5" s="202"/>
      <c r="S5" s="206"/>
      <c r="T5" s="207"/>
    </row>
    <row r="6" ht="21.75">
      <c r="A6" s="208" t="s">
        <v>312</v>
      </c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08"/>
      <c r="P6" s="208"/>
      <c r="Q6" s="208"/>
      <c r="R6" s="208"/>
      <c r="S6" s="208"/>
      <c r="T6" s="209"/>
    </row>
    <row r="7" ht="21.75">
      <c r="A7" s="208"/>
      <c r="B7" s="208"/>
      <c r="C7" s="208"/>
      <c r="D7" s="208"/>
      <c r="E7" s="208"/>
      <c r="F7" s="208"/>
      <c r="G7" s="208"/>
      <c r="H7" s="208"/>
      <c r="I7" s="208"/>
      <c r="J7" s="208"/>
      <c r="K7" s="208"/>
      <c r="L7" s="208"/>
      <c r="M7" s="208"/>
      <c r="N7" s="208"/>
      <c r="O7" s="208"/>
      <c r="P7" s="208"/>
      <c r="Q7" s="208"/>
      <c r="R7" s="208"/>
      <c r="S7" s="208"/>
      <c r="T7" s="209"/>
    </row>
    <row r="8" ht="15.75">
      <c r="A8" s="198"/>
      <c r="B8" s="199"/>
      <c r="C8" s="200"/>
      <c r="D8" s="200"/>
      <c r="E8" s="201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202"/>
      <c r="R8" s="202"/>
      <c r="S8" s="202"/>
    </row>
    <row r="9" ht="21.75" customHeight="1">
      <c r="A9" s="210" t="s">
        <v>313</v>
      </c>
      <c r="B9" s="211"/>
      <c r="C9" s="212"/>
      <c r="D9" s="212"/>
      <c r="E9" s="213"/>
      <c r="F9" s="214"/>
      <c r="G9" s="214"/>
      <c r="H9" s="214"/>
      <c r="I9" s="214"/>
      <c r="J9" s="214"/>
      <c r="K9" s="214"/>
      <c r="L9" s="214"/>
      <c r="M9" s="214"/>
      <c r="N9" s="214"/>
      <c r="O9" s="214"/>
      <c r="P9" s="214"/>
      <c r="Q9" s="214"/>
      <c r="R9" s="214"/>
      <c r="S9" s="214"/>
    </row>
    <row r="10" ht="15.75">
      <c r="A10" s="198"/>
      <c r="B10" s="215" t="s">
        <v>314</v>
      </c>
      <c r="C10" s="200"/>
      <c r="D10" s="200"/>
      <c r="E10" s="201"/>
      <c r="F10" s="202"/>
      <c r="G10" s="202"/>
      <c r="H10" s="202"/>
      <c r="I10" s="202"/>
      <c r="J10" s="202"/>
      <c r="K10" s="202"/>
      <c r="L10" s="202"/>
      <c r="M10" s="202"/>
      <c r="N10" s="202"/>
      <c r="O10" s="202"/>
      <c r="P10" s="202"/>
      <c r="Q10" s="202"/>
      <c r="R10" s="202"/>
      <c r="S10" s="202"/>
    </row>
    <row r="11" ht="17.25">
      <c r="A11" s="198"/>
      <c r="B11" s="216" t="s">
        <v>315</v>
      </c>
      <c r="C11" s="200"/>
      <c r="D11" s="200"/>
      <c r="E11" s="201"/>
      <c r="F11" s="202"/>
      <c r="G11" s="202"/>
      <c r="H11" s="202"/>
      <c r="I11" s="202"/>
      <c r="J11" s="202"/>
      <c r="K11" s="202"/>
      <c r="L11" s="202"/>
      <c r="M11" s="202"/>
      <c r="N11" s="202"/>
      <c r="O11" s="202"/>
      <c r="P11" s="202"/>
      <c r="Q11" s="202"/>
      <c r="R11" s="202"/>
      <c r="S11" s="202"/>
    </row>
    <row r="12" ht="15.75" customHeight="1">
      <c r="A12" s="217" t="s">
        <v>316</v>
      </c>
      <c r="B12" s="217"/>
      <c r="C12" s="200"/>
      <c r="D12" s="200"/>
      <c r="E12" s="201"/>
      <c r="F12" s="202"/>
      <c r="G12" s="202"/>
      <c r="H12" s="202"/>
      <c r="I12" s="202"/>
      <c r="J12" s="202"/>
      <c r="K12" s="202"/>
      <c r="L12" s="202"/>
      <c r="M12" s="202"/>
      <c r="N12" s="202"/>
      <c r="O12" s="202"/>
      <c r="P12" s="202"/>
      <c r="Q12" s="202"/>
      <c r="R12" s="202"/>
      <c r="S12" s="202"/>
    </row>
    <row r="13" ht="17.25">
      <c r="A13" s="198"/>
      <c r="B13" s="216"/>
      <c r="C13" s="200"/>
      <c r="D13" s="200"/>
      <c r="E13" s="201"/>
      <c r="F13" s="202"/>
      <c r="G13" s="202"/>
      <c r="H13" s="202"/>
      <c r="I13" s="202"/>
      <c r="J13" s="202"/>
      <c r="K13" s="202"/>
      <c r="L13" s="202"/>
      <c r="M13" s="202"/>
      <c r="N13" s="202"/>
      <c r="O13" s="202"/>
      <c r="P13" s="202"/>
      <c r="Q13" s="202"/>
      <c r="R13" s="202"/>
      <c r="S13" s="202"/>
    </row>
    <row r="14" ht="27.75" hidden="1" customHeight="1">
      <c r="A14" s="218" t="s">
        <v>317</v>
      </c>
      <c r="B14" s="218"/>
      <c r="C14" s="218"/>
      <c r="D14" s="218"/>
      <c r="E14" s="218"/>
      <c r="F14" s="218"/>
      <c r="G14" s="218"/>
      <c r="H14" s="218"/>
      <c r="I14" s="218"/>
      <c r="J14" s="218"/>
      <c r="K14" s="218"/>
      <c r="L14" s="218"/>
      <c r="M14" s="218"/>
      <c r="N14" s="218"/>
      <c r="O14" s="218"/>
      <c r="P14" s="218"/>
      <c r="Q14" s="218"/>
      <c r="R14" s="218"/>
      <c r="S14" s="218"/>
    </row>
    <row r="15" ht="15.75" hidden="1">
      <c r="A15" s="219" t="s">
        <v>318</v>
      </c>
      <c r="B15" s="219"/>
      <c r="C15" s="219"/>
      <c r="D15" s="219"/>
      <c r="E15" s="219"/>
      <c r="F15" s="219"/>
      <c r="G15" s="219"/>
      <c r="H15" s="219"/>
      <c r="I15" s="219"/>
      <c r="J15" s="219"/>
      <c r="K15" s="219"/>
      <c r="L15" s="219"/>
      <c r="M15" s="219"/>
      <c r="N15" s="219"/>
      <c r="O15" s="219"/>
      <c r="P15" s="219"/>
      <c r="Q15" s="219"/>
      <c r="R15" s="219"/>
      <c r="S15" s="219"/>
    </row>
    <row r="16" ht="15.75" hidden="1">
      <c r="A16" s="202"/>
      <c r="B16" s="214"/>
      <c r="C16" s="202"/>
      <c r="D16" s="202"/>
      <c r="E16" s="202"/>
      <c r="F16" s="202"/>
      <c r="G16" s="202"/>
      <c r="H16" s="202"/>
      <c r="I16" s="202"/>
      <c r="J16" s="202"/>
      <c r="K16" s="202"/>
      <c r="L16" s="202"/>
      <c r="M16" s="202"/>
      <c r="N16" s="202"/>
      <c r="O16" s="202"/>
      <c r="P16" s="202"/>
      <c r="Q16" s="202"/>
      <c r="R16" s="202"/>
      <c r="S16" s="202"/>
    </row>
    <row r="17" ht="15.75" hidden="1">
      <c r="A17" s="202"/>
      <c r="B17" s="214"/>
      <c r="C17" s="202"/>
      <c r="D17" s="202"/>
      <c r="E17" s="202"/>
      <c r="F17" s="202"/>
      <c r="G17" s="202"/>
      <c r="H17" s="202"/>
      <c r="I17" s="202"/>
      <c r="J17" s="202"/>
      <c r="K17" s="202"/>
      <c r="L17" s="202"/>
      <c r="M17" s="202"/>
      <c r="N17" s="202"/>
      <c r="O17" s="202"/>
      <c r="P17" s="202"/>
      <c r="Q17" s="202"/>
      <c r="R17" s="202"/>
      <c r="S17" s="202"/>
    </row>
    <row r="18" ht="18.75" hidden="1" customHeight="1">
      <c r="A18" s="220" t="s">
        <v>319</v>
      </c>
      <c r="B18" s="220"/>
      <c r="C18" s="220"/>
      <c r="D18" s="220"/>
      <c r="E18" s="220"/>
      <c r="F18" s="220"/>
      <c r="G18" s="220"/>
      <c r="H18" s="220"/>
      <c r="I18" s="220"/>
      <c r="J18" s="220"/>
      <c r="K18" s="220"/>
      <c r="L18" s="220"/>
      <c r="M18" s="220"/>
      <c r="N18" s="220"/>
      <c r="O18" s="220"/>
      <c r="P18" s="220"/>
      <c r="Q18" s="220"/>
      <c r="R18" s="220"/>
      <c r="S18" s="220"/>
      <c r="T18" s="221"/>
    </row>
    <row r="19" ht="55.5" customHeight="1">
      <c r="A19" s="222" t="s">
        <v>1</v>
      </c>
      <c r="B19" s="223" t="s">
        <v>320</v>
      </c>
      <c r="C19" s="224" t="s">
        <v>321</v>
      </c>
      <c r="D19" s="225" t="s">
        <v>322</v>
      </c>
      <c r="E19" s="225" t="s">
        <v>323</v>
      </c>
      <c r="F19" s="226" t="s">
        <v>324</v>
      </c>
      <c r="G19" s="227"/>
      <c r="H19" s="226" t="s">
        <v>325</v>
      </c>
      <c r="I19" s="227"/>
      <c r="J19" s="226" t="s">
        <v>326</v>
      </c>
      <c r="K19" s="227"/>
      <c r="L19" s="226" t="s">
        <v>327</v>
      </c>
      <c r="M19" s="227"/>
      <c r="N19" s="226" t="s">
        <v>328</v>
      </c>
      <c r="O19" s="227"/>
      <c r="P19" s="226" t="s">
        <v>329</v>
      </c>
      <c r="Q19" s="227"/>
      <c r="R19" s="228" t="s">
        <v>330</v>
      </c>
      <c r="S19" s="229"/>
      <c r="T19" s="230"/>
    </row>
    <row r="20" ht="72" customHeight="1">
      <c r="A20" s="231"/>
      <c r="B20" s="232"/>
      <c r="C20" s="233"/>
      <c r="D20" s="234" t="s">
        <v>331</v>
      </c>
      <c r="E20" s="234" t="s">
        <v>332</v>
      </c>
      <c r="F20" s="235" t="s">
        <v>333</v>
      </c>
      <c r="G20" s="235" t="s">
        <v>334</v>
      </c>
      <c r="H20" s="235" t="s">
        <v>333</v>
      </c>
      <c r="I20" s="235" t="s">
        <v>334</v>
      </c>
      <c r="J20" s="235" t="s">
        <v>335</v>
      </c>
      <c r="K20" s="235" t="s">
        <v>334</v>
      </c>
      <c r="L20" s="235" t="s">
        <v>335</v>
      </c>
      <c r="M20" s="236" t="s">
        <v>334</v>
      </c>
      <c r="N20" s="236" t="str">
        <f>L20</f>
        <v>План</v>
      </c>
      <c r="O20" s="236" t="s">
        <v>334</v>
      </c>
      <c r="P20" s="236" t="str">
        <f>N20</f>
        <v>План</v>
      </c>
      <c r="Q20" s="235" t="s">
        <v>334</v>
      </c>
      <c r="R20" s="235" t="s">
        <v>333</v>
      </c>
      <c r="S20" s="235" t="s">
        <v>334</v>
      </c>
      <c r="T20" s="237"/>
    </row>
    <row r="21" s="238" customFormat="1" ht="30.75" customHeight="1">
      <c r="A21" s="239">
        <v>1</v>
      </c>
      <c r="B21" s="240">
        <v>2</v>
      </c>
      <c r="C21" s="241">
        <v>3</v>
      </c>
      <c r="D21" s="242">
        <v>4</v>
      </c>
      <c r="E21" s="239" t="s">
        <v>336</v>
      </c>
      <c r="F21" s="243" t="s">
        <v>337</v>
      </c>
      <c r="G21" s="244" t="s">
        <v>338</v>
      </c>
      <c r="H21" s="244" t="s">
        <v>339</v>
      </c>
      <c r="I21" s="244" t="s">
        <v>340</v>
      </c>
      <c r="J21" s="244" t="s">
        <v>341</v>
      </c>
      <c r="K21" s="244" t="s">
        <v>342</v>
      </c>
      <c r="L21" s="244" t="s">
        <v>343</v>
      </c>
      <c r="M21" s="244" t="s">
        <v>344</v>
      </c>
      <c r="N21" s="244" t="s">
        <v>345</v>
      </c>
      <c r="O21" s="244" t="s">
        <v>346</v>
      </c>
      <c r="P21" s="244" t="s">
        <v>347</v>
      </c>
      <c r="Q21" s="244" t="s">
        <v>348</v>
      </c>
      <c r="R21" s="244" t="s">
        <v>349</v>
      </c>
      <c r="S21" s="245" t="s">
        <v>350</v>
      </c>
      <c r="T21" s="246"/>
      <c r="U21" s="197"/>
    </row>
    <row r="22" s="238" customFormat="1" ht="17.25">
      <c r="A22" s="247" t="s">
        <v>351</v>
      </c>
      <c r="B22" s="248"/>
      <c r="C22" s="248"/>
      <c r="D22" s="249"/>
      <c r="E22" s="249"/>
      <c r="F22" s="249"/>
      <c r="G22" s="249"/>
      <c r="H22" s="249"/>
      <c r="I22" s="249"/>
      <c r="J22" s="249"/>
      <c r="K22" s="249"/>
      <c r="L22" s="249"/>
      <c r="M22" s="249"/>
      <c r="N22" s="249"/>
      <c r="O22" s="249"/>
      <c r="P22" s="249"/>
      <c r="Q22" s="249"/>
      <c r="R22" s="249"/>
      <c r="S22" s="250"/>
      <c r="T22" s="251"/>
      <c r="U22" s="197"/>
    </row>
    <row r="23" s="238" customFormat="1">
      <c r="A23" s="252" t="s">
        <v>352</v>
      </c>
      <c r="B23" s="253" t="s">
        <v>353</v>
      </c>
      <c r="C23" s="254" t="s">
        <v>354</v>
      </c>
      <c r="D23" s="255"/>
      <c r="E23" s="256">
        <f t="shared" ref="E23:Q23" si="10">E24+E28+E29+E30+E31+E32+E33+E34+E37</f>
        <v>12.092000000000001</v>
      </c>
      <c r="F23" s="257">
        <f t="shared" si="10"/>
        <v>12.078200000000001</v>
      </c>
      <c r="G23" s="258">
        <f t="shared" si="10"/>
        <v>0</v>
      </c>
      <c r="H23" s="257">
        <f t="shared" si="10"/>
        <v>19.052</v>
      </c>
      <c r="I23" s="258">
        <f t="shared" si="10"/>
        <v>19.052</v>
      </c>
      <c r="J23" s="257">
        <f t="shared" si="10"/>
        <v>19.795099999999998</v>
      </c>
      <c r="K23" s="258">
        <f t="shared" si="10"/>
        <v>19.795099999999998</v>
      </c>
      <c r="L23" s="257">
        <f t="shared" si="10"/>
        <v>26.134799999999998</v>
      </c>
      <c r="M23" s="258">
        <f t="shared" si="10"/>
        <v>26.134799999999998</v>
      </c>
      <c r="N23" s="257">
        <f t="shared" si="10"/>
        <v>41.927039999999991</v>
      </c>
      <c r="O23" s="258">
        <f t="shared" si="10"/>
        <v>41.927039999999991</v>
      </c>
      <c r="P23" s="257">
        <f t="shared" si="10"/>
        <v>41.927039999999991</v>
      </c>
      <c r="Q23" s="258">
        <f t="shared" si="10"/>
        <v>41.927039999999991</v>
      </c>
      <c r="R23" s="257">
        <f t="shared" ref="R23:R86" si="11">H23+J23+L23+N23+P23</f>
        <v>148.83597999999998</v>
      </c>
      <c r="S23" s="258">
        <f t="shared" ref="S23:S86" si="12">I23+K23+M23+O23+Q23</f>
        <v>148.83597999999998</v>
      </c>
      <c r="T23" s="259"/>
      <c r="U23" s="197"/>
    </row>
    <row r="24" s="238" customFormat="1">
      <c r="A24" s="260" t="s">
        <v>110</v>
      </c>
      <c r="B24" s="261" t="s">
        <v>355</v>
      </c>
      <c r="C24" s="262" t="s">
        <v>354</v>
      </c>
      <c r="D24" s="263"/>
      <c r="E24" s="264"/>
      <c r="F24" s="265"/>
      <c r="G24" s="266"/>
      <c r="H24" s="265"/>
      <c r="I24" s="266"/>
      <c r="J24" s="265"/>
      <c r="K24" s="266"/>
      <c r="L24" s="265"/>
      <c r="M24" s="266"/>
      <c r="N24" s="265"/>
      <c r="O24" s="266"/>
      <c r="P24" s="265"/>
      <c r="Q24" s="266"/>
      <c r="R24" s="265">
        <f t="shared" si="11"/>
        <v>0</v>
      </c>
      <c r="S24" s="266">
        <f t="shared" si="12"/>
        <v>0</v>
      </c>
      <c r="T24" s="259"/>
      <c r="U24" s="197"/>
    </row>
    <row r="25" s="238" customFormat="1" ht="30">
      <c r="A25" s="260" t="s">
        <v>112</v>
      </c>
      <c r="B25" s="267" t="s">
        <v>356</v>
      </c>
      <c r="C25" s="262" t="s">
        <v>354</v>
      </c>
      <c r="D25" s="263"/>
      <c r="E25" s="264"/>
      <c r="F25" s="265"/>
      <c r="G25" s="266"/>
      <c r="H25" s="265"/>
      <c r="I25" s="266"/>
      <c r="J25" s="265"/>
      <c r="K25" s="266"/>
      <c r="L25" s="265"/>
      <c r="M25" s="266"/>
      <c r="N25" s="265"/>
      <c r="O25" s="266"/>
      <c r="P25" s="265"/>
      <c r="Q25" s="266"/>
      <c r="R25" s="265">
        <f t="shared" si="11"/>
        <v>0</v>
      </c>
      <c r="S25" s="266">
        <f t="shared" si="12"/>
        <v>0</v>
      </c>
      <c r="T25" s="259"/>
      <c r="U25" s="197"/>
    </row>
    <row r="26" s="238" customFormat="1" ht="30">
      <c r="A26" s="260" t="s">
        <v>114</v>
      </c>
      <c r="B26" s="267" t="s">
        <v>357</v>
      </c>
      <c r="C26" s="262" t="s">
        <v>354</v>
      </c>
      <c r="D26" s="263"/>
      <c r="E26" s="264"/>
      <c r="F26" s="265"/>
      <c r="G26" s="266"/>
      <c r="H26" s="265"/>
      <c r="I26" s="266"/>
      <c r="J26" s="265"/>
      <c r="K26" s="266"/>
      <c r="L26" s="265"/>
      <c r="M26" s="266"/>
      <c r="N26" s="265"/>
      <c r="O26" s="266"/>
      <c r="P26" s="265"/>
      <c r="Q26" s="266"/>
      <c r="R26" s="265">
        <f t="shared" si="11"/>
        <v>0</v>
      </c>
      <c r="S26" s="266">
        <f t="shared" si="12"/>
        <v>0</v>
      </c>
      <c r="T26" s="259"/>
      <c r="U26" s="197"/>
    </row>
    <row r="27" s="238" customFormat="1" ht="30">
      <c r="A27" s="260" t="s">
        <v>116</v>
      </c>
      <c r="B27" s="267" t="s">
        <v>358</v>
      </c>
      <c r="C27" s="262" t="s">
        <v>354</v>
      </c>
      <c r="D27" s="263"/>
      <c r="E27" s="264"/>
      <c r="F27" s="265"/>
      <c r="G27" s="266"/>
      <c r="H27" s="265"/>
      <c r="I27" s="266"/>
      <c r="J27" s="265"/>
      <c r="K27" s="266"/>
      <c r="L27" s="265"/>
      <c r="M27" s="266"/>
      <c r="N27" s="265"/>
      <c r="O27" s="266"/>
      <c r="P27" s="265"/>
      <c r="Q27" s="266"/>
      <c r="R27" s="265">
        <f t="shared" si="11"/>
        <v>0</v>
      </c>
      <c r="S27" s="266">
        <f t="shared" si="12"/>
        <v>0</v>
      </c>
      <c r="T27" s="259"/>
      <c r="U27" s="197"/>
    </row>
    <row r="28" s="238" customFormat="1">
      <c r="A28" s="260" t="s">
        <v>125</v>
      </c>
      <c r="B28" s="261" t="s">
        <v>359</v>
      </c>
      <c r="C28" s="262" t="s">
        <v>354</v>
      </c>
      <c r="D28" s="263"/>
      <c r="E28" s="264"/>
      <c r="F28" s="265"/>
      <c r="G28" s="266"/>
      <c r="H28" s="265"/>
      <c r="I28" s="266"/>
      <c r="J28" s="265"/>
      <c r="K28" s="266"/>
      <c r="L28" s="265"/>
      <c r="M28" s="266"/>
      <c r="N28" s="265"/>
      <c r="O28" s="266"/>
      <c r="P28" s="265"/>
      <c r="Q28" s="266"/>
      <c r="R28" s="265">
        <f t="shared" si="11"/>
        <v>0</v>
      </c>
      <c r="S28" s="266">
        <f t="shared" si="12"/>
        <v>0</v>
      </c>
      <c r="T28" s="259"/>
      <c r="U28" s="197"/>
    </row>
    <row r="29" s="238" customFormat="1">
      <c r="A29" s="260" t="s">
        <v>133</v>
      </c>
      <c r="B29" s="261" t="s">
        <v>360</v>
      </c>
      <c r="C29" s="262" t="s">
        <v>354</v>
      </c>
      <c r="D29" s="268"/>
      <c r="E29" s="264">
        <f>10709/1000</f>
        <v>10.709</v>
      </c>
      <c r="F29" s="265">
        <f>(8240.5+3837.6999999999998)/1000</f>
        <v>12.078200000000001</v>
      </c>
      <c r="G29" s="266"/>
      <c r="H29" s="265">
        <f>15.293799999999999+3.7582</f>
        <v>19.052</v>
      </c>
      <c r="I29" s="266">
        <f>15.293799999999999+3.7582-H155+I155</f>
        <v>19.052</v>
      </c>
      <c r="J29" s="265">
        <f>15.8866+3.9085000000000001</f>
        <v>19.795099999999998</v>
      </c>
      <c r="K29" s="266">
        <f>15.8866+3.9085000000000001-J155+K155</f>
        <v>19.795099999999998</v>
      </c>
      <c r="L29" s="265">
        <v>26.134799999999998</v>
      </c>
      <c r="M29" s="265">
        <f>L29</f>
        <v>26.134799999999998</v>
      </c>
      <c r="N29" s="265">
        <f>15.79224+27.890899999999998-1.7561</f>
        <v>41.927039999999991</v>
      </c>
      <c r="O29" s="266">
        <f>N29</f>
        <v>41.927039999999991</v>
      </c>
      <c r="P29" s="265">
        <f>N29</f>
        <v>41.927039999999991</v>
      </c>
      <c r="Q29" s="266">
        <f>P29</f>
        <v>41.927039999999991</v>
      </c>
      <c r="R29" s="265">
        <f t="shared" si="11"/>
        <v>148.83597999999998</v>
      </c>
      <c r="S29" s="266">
        <f t="shared" si="12"/>
        <v>148.83597999999998</v>
      </c>
      <c r="T29" s="259"/>
      <c r="U29" s="197"/>
    </row>
    <row r="30" s="238" customFormat="1">
      <c r="A30" s="260" t="s">
        <v>135</v>
      </c>
      <c r="B30" s="261" t="s">
        <v>361</v>
      </c>
      <c r="C30" s="262" t="s">
        <v>354</v>
      </c>
      <c r="D30" s="263"/>
      <c r="E30" s="264"/>
      <c r="F30" s="265"/>
      <c r="G30" s="266"/>
      <c r="H30" s="265"/>
      <c r="I30" s="266"/>
      <c r="J30" s="265"/>
      <c r="K30" s="266"/>
      <c r="L30" s="265"/>
      <c r="M30" s="266"/>
      <c r="N30" s="265"/>
      <c r="O30" s="266"/>
      <c r="P30" s="265"/>
      <c r="Q30" s="266"/>
      <c r="R30" s="265">
        <f t="shared" si="11"/>
        <v>0</v>
      </c>
      <c r="S30" s="266">
        <f t="shared" si="12"/>
        <v>0</v>
      </c>
      <c r="T30" s="259"/>
      <c r="U30" s="197"/>
    </row>
    <row r="31" s="238" customFormat="1">
      <c r="A31" s="260" t="s">
        <v>139</v>
      </c>
      <c r="B31" s="261" t="s">
        <v>362</v>
      </c>
      <c r="C31" s="262" t="s">
        <v>354</v>
      </c>
      <c r="D31" s="268"/>
      <c r="E31" s="264">
        <f>226/1000</f>
        <v>0.22600000000000001</v>
      </c>
      <c r="F31" s="265"/>
      <c r="G31" s="266"/>
      <c r="H31" s="265"/>
      <c r="I31" s="266"/>
      <c r="J31" s="265"/>
      <c r="K31" s="266"/>
      <c r="L31" s="265"/>
      <c r="M31" s="266"/>
      <c r="N31" s="265"/>
      <c r="O31" s="266"/>
      <c r="P31" s="265"/>
      <c r="Q31" s="266"/>
      <c r="R31" s="265">
        <f t="shared" si="11"/>
        <v>0</v>
      </c>
      <c r="S31" s="266">
        <f t="shared" si="12"/>
        <v>0</v>
      </c>
      <c r="T31" s="259"/>
      <c r="U31" s="197"/>
    </row>
    <row r="32" s="238" customFormat="1">
      <c r="A32" s="260" t="s">
        <v>363</v>
      </c>
      <c r="B32" s="261" t="s">
        <v>364</v>
      </c>
      <c r="C32" s="262" t="s">
        <v>354</v>
      </c>
      <c r="D32" s="263"/>
      <c r="E32" s="264"/>
      <c r="F32" s="265"/>
      <c r="G32" s="266"/>
      <c r="H32" s="265"/>
      <c r="I32" s="266"/>
      <c r="J32" s="265"/>
      <c r="K32" s="266"/>
      <c r="L32" s="265"/>
      <c r="M32" s="266"/>
      <c r="N32" s="265"/>
      <c r="O32" s="266"/>
      <c r="P32" s="265"/>
      <c r="Q32" s="266"/>
      <c r="R32" s="265">
        <f t="shared" si="11"/>
        <v>0</v>
      </c>
      <c r="S32" s="266">
        <f t="shared" si="12"/>
        <v>0</v>
      </c>
      <c r="T32" s="259"/>
      <c r="U32" s="197"/>
    </row>
    <row r="33" s="238" customFormat="1">
      <c r="A33" s="260" t="s">
        <v>365</v>
      </c>
      <c r="B33" s="261" t="s">
        <v>366</v>
      </c>
      <c r="C33" s="262" t="s">
        <v>354</v>
      </c>
      <c r="D33" s="263"/>
      <c r="E33" s="264"/>
      <c r="F33" s="265"/>
      <c r="G33" s="266"/>
      <c r="H33" s="265"/>
      <c r="I33" s="266"/>
      <c r="J33" s="265"/>
      <c r="K33" s="266"/>
      <c r="L33" s="265"/>
      <c r="M33" s="266"/>
      <c r="N33" s="265"/>
      <c r="O33" s="266"/>
      <c r="P33" s="265"/>
      <c r="Q33" s="266"/>
      <c r="R33" s="265">
        <f t="shared" si="11"/>
        <v>0</v>
      </c>
      <c r="S33" s="266">
        <f t="shared" si="12"/>
        <v>0</v>
      </c>
      <c r="T33" s="259"/>
      <c r="U33" s="197"/>
    </row>
    <row r="34" s="238" customFormat="1" ht="30">
      <c r="A34" s="260" t="s">
        <v>367</v>
      </c>
      <c r="B34" s="267" t="s">
        <v>368</v>
      </c>
      <c r="C34" s="262" t="s">
        <v>354</v>
      </c>
      <c r="D34" s="263"/>
      <c r="E34" s="264"/>
      <c r="F34" s="265"/>
      <c r="G34" s="266"/>
      <c r="H34" s="265"/>
      <c r="I34" s="266"/>
      <c r="J34" s="265"/>
      <c r="K34" s="266"/>
      <c r="L34" s="265"/>
      <c r="M34" s="266"/>
      <c r="N34" s="265"/>
      <c r="O34" s="266"/>
      <c r="P34" s="265"/>
      <c r="Q34" s="266"/>
      <c r="R34" s="265">
        <f t="shared" si="11"/>
        <v>0</v>
      </c>
      <c r="S34" s="266">
        <f t="shared" si="12"/>
        <v>0</v>
      </c>
      <c r="T34" s="259"/>
      <c r="U34" s="197"/>
    </row>
    <row r="35" s="238" customFormat="1">
      <c r="A35" s="260" t="s">
        <v>369</v>
      </c>
      <c r="B35" s="261" t="s">
        <v>370</v>
      </c>
      <c r="C35" s="262" t="s">
        <v>354</v>
      </c>
      <c r="D35" s="263"/>
      <c r="E35" s="264"/>
      <c r="F35" s="265"/>
      <c r="G35" s="266"/>
      <c r="H35" s="265"/>
      <c r="I35" s="266"/>
      <c r="J35" s="265"/>
      <c r="K35" s="266"/>
      <c r="L35" s="265"/>
      <c r="M35" s="266"/>
      <c r="N35" s="265"/>
      <c r="O35" s="266"/>
      <c r="P35" s="265"/>
      <c r="Q35" s="266"/>
      <c r="R35" s="265">
        <f t="shared" si="11"/>
        <v>0</v>
      </c>
      <c r="S35" s="266">
        <f t="shared" si="12"/>
        <v>0</v>
      </c>
      <c r="T35" s="259"/>
      <c r="U35" s="197"/>
    </row>
    <row r="36" s="238" customFormat="1">
      <c r="A36" s="260" t="s">
        <v>371</v>
      </c>
      <c r="B36" s="261" t="s">
        <v>372</v>
      </c>
      <c r="C36" s="262" t="s">
        <v>354</v>
      </c>
      <c r="D36" s="263"/>
      <c r="E36" s="264"/>
      <c r="F36" s="265"/>
      <c r="G36" s="266"/>
      <c r="H36" s="265"/>
      <c r="I36" s="266"/>
      <c r="J36" s="265"/>
      <c r="K36" s="266"/>
      <c r="L36" s="265"/>
      <c r="M36" s="266"/>
      <c r="N36" s="265"/>
      <c r="O36" s="266"/>
      <c r="P36" s="265"/>
      <c r="Q36" s="266"/>
      <c r="R36" s="265">
        <f t="shared" si="11"/>
        <v>0</v>
      </c>
      <c r="S36" s="266">
        <f t="shared" si="12"/>
        <v>0</v>
      </c>
      <c r="T36" s="259"/>
      <c r="U36" s="197"/>
    </row>
    <row r="37" s="238" customFormat="1">
      <c r="A37" s="269" t="s">
        <v>373</v>
      </c>
      <c r="B37" s="270" t="s">
        <v>374</v>
      </c>
      <c r="C37" s="271" t="s">
        <v>354</v>
      </c>
      <c r="D37" s="272"/>
      <c r="E37" s="273">
        <f>1157/1000</f>
        <v>1.157</v>
      </c>
      <c r="F37" s="274"/>
      <c r="G37" s="275"/>
      <c r="H37" s="274"/>
      <c r="I37" s="275"/>
      <c r="J37" s="274"/>
      <c r="K37" s="275"/>
      <c r="L37" s="274"/>
      <c r="M37" s="275"/>
      <c r="N37" s="274"/>
      <c r="O37" s="275"/>
      <c r="P37" s="274"/>
      <c r="Q37" s="275"/>
      <c r="R37" s="274">
        <f t="shared" si="11"/>
        <v>0</v>
      </c>
      <c r="S37" s="275">
        <f t="shared" si="12"/>
        <v>0</v>
      </c>
      <c r="T37" s="259"/>
      <c r="U37" s="197"/>
    </row>
    <row r="38" s="238" customFormat="1" ht="30">
      <c r="A38" s="252" t="s">
        <v>375</v>
      </c>
      <c r="B38" s="253" t="s">
        <v>376</v>
      </c>
      <c r="C38" s="254" t="s">
        <v>354</v>
      </c>
      <c r="D38" s="276"/>
      <c r="E38" s="277">
        <f t="shared" ref="E38:Q38" si="13">E39+E43+E44+E45+E46+E47+E48+E49+E52</f>
        <v>15.165000000000001</v>
      </c>
      <c r="F38" s="278">
        <f>F39+F43+F44+F45+F46+F47+F48+F49+F52</f>
        <v>12.078199999999999</v>
      </c>
      <c r="G38" s="279">
        <f t="shared" si="13"/>
        <v>0</v>
      </c>
      <c r="H38" s="278">
        <f>H39+H43+H44+H45+H46+H47+H48+H49+H52</f>
        <v>18.634999999999998</v>
      </c>
      <c r="I38" s="279">
        <f t="shared" si="13"/>
        <v>18.634999999999998</v>
      </c>
      <c r="J38" s="278">
        <f t="shared" si="13"/>
        <v>19.398099999999999</v>
      </c>
      <c r="K38" s="279">
        <f t="shared" si="13"/>
        <v>19.398099999999999</v>
      </c>
      <c r="L38" s="278">
        <f t="shared" si="13"/>
        <v>25.157100000000003</v>
      </c>
      <c r="M38" s="279">
        <f t="shared" si="13"/>
        <v>25.157100000000003</v>
      </c>
      <c r="N38" s="278">
        <f t="shared" si="13"/>
        <v>40.244806400000002</v>
      </c>
      <c r="O38" s="279">
        <f t="shared" si="13"/>
        <v>40.244806400000002</v>
      </c>
      <c r="P38" s="278">
        <f t="shared" si="13"/>
        <v>41.313834656000004</v>
      </c>
      <c r="Q38" s="279">
        <f t="shared" si="13"/>
        <v>41.313834656000004</v>
      </c>
      <c r="R38" s="278">
        <f t="shared" si="11"/>
        <v>144.748841056</v>
      </c>
      <c r="S38" s="279">
        <f t="shared" si="12"/>
        <v>144.748841056</v>
      </c>
      <c r="T38" s="259"/>
      <c r="U38" s="259"/>
      <c r="V38" s="259"/>
    </row>
    <row r="39" s="238" customFormat="1">
      <c r="A39" s="260" t="s">
        <v>143</v>
      </c>
      <c r="B39" s="261" t="s">
        <v>355</v>
      </c>
      <c r="C39" s="262" t="s">
        <v>354</v>
      </c>
      <c r="D39" s="263"/>
      <c r="E39" s="264"/>
      <c r="F39" s="265"/>
      <c r="G39" s="266"/>
      <c r="H39" s="265"/>
      <c r="I39" s="266"/>
      <c r="J39" s="265"/>
      <c r="K39" s="266"/>
      <c r="L39" s="265"/>
      <c r="M39" s="266"/>
      <c r="N39" s="265"/>
      <c r="O39" s="266"/>
      <c r="P39" s="265"/>
      <c r="Q39" s="266"/>
      <c r="R39" s="265">
        <f t="shared" si="11"/>
        <v>0</v>
      </c>
      <c r="S39" s="266">
        <f t="shared" si="12"/>
        <v>0</v>
      </c>
      <c r="T39" s="259"/>
      <c r="U39" s="197"/>
    </row>
    <row r="40" s="238" customFormat="1" ht="30">
      <c r="A40" s="260" t="s">
        <v>377</v>
      </c>
      <c r="B40" s="267" t="s">
        <v>356</v>
      </c>
      <c r="C40" s="262" t="s">
        <v>354</v>
      </c>
      <c r="D40" s="263"/>
      <c r="E40" s="264"/>
      <c r="F40" s="265"/>
      <c r="G40" s="266"/>
      <c r="H40" s="265"/>
      <c r="I40" s="266"/>
      <c r="J40" s="265"/>
      <c r="K40" s="266"/>
      <c r="L40" s="265"/>
      <c r="M40" s="266"/>
      <c r="N40" s="265"/>
      <c r="O40" s="266"/>
      <c r="P40" s="265"/>
      <c r="Q40" s="266"/>
      <c r="R40" s="265">
        <f t="shared" si="11"/>
        <v>0</v>
      </c>
      <c r="S40" s="266">
        <f t="shared" si="12"/>
        <v>0</v>
      </c>
      <c r="T40" s="280"/>
      <c r="U40" s="197"/>
    </row>
    <row r="41" s="238" customFormat="1" ht="30">
      <c r="A41" s="260" t="s">
        <v>378</v>
      </c>
      <c r="B41" s="267" t="s">
        <v>357</v>
      </c>
      <c r="C41" s="262" t="s">
        <v>354</v>
      </c>
      <c r="D41" s="263"/>
      <c r="E41" s="264"/>
      <c r="F41" s="265"/>
      <c r="G41" s="266"/>
      <c r="H41" s="265"/>
      <c r="I41" s="266"/>
      <c r="J41" s="265"/>
      <c r="K41" s="266"/>
      <c r="L41" s="265"/>
      <c r="M41" s="266"/>
      <c r="N41" s="265"/>
      <c r="O41" s="266"/>
      <c r="P41" s="265"/>
      <c r="Q41" s="266"/>
      <c r="R41" s="265">
        <f t="shared" si="11"/>
        <v>0</v>
      </c>
      <c r="S41" s="266">
        <f t="shared" si="12"/>
        <v>0</v>
      </c>
      <c r="T41" s="259"/>
      <c r="U41" s="197"/>
    </row>
    <row r="42" s="238" customFormat="1" ht="30">
      <c r="A42" s="260" t="s">
        <v>379</v>
      </c>
      <c r="B42" s="267" t="s">
        <v>358</v>
      </c>
      <c r="C42" s="262" t="s">
        <v>354</v>
      </c>
      <c r="D42" s="263"/>
      <c r="E42" s="264"/>
      <c r="F42" s="265"/>
      <c r="G42" s="266"/>
      <c r="H42" s="265"/>
      <c r="I42" s="266"/>
      <c r="J42" s="265"/>
      <c r="K42" s="266"/>
      <c r="L42" s="265"/>
      <c r="M42" s="266"/>
      <c r="N42" s="265"/>
      <c r="O42" s="266"/>
      <c r="P42" s="265"/>
      <c r="Q42" s="266"/>
      <c r="R42" s="265">
        <f t="shared" si="11"/>
        <v>0</v>
      </c>
      <c r="S42" s="266">
        <f t="shared" si="12"/>
        <v>0</v>
      </c>
      <c r="T42" s="259"/>
      <c r="U42" s="197"/>
    </row>
    <row r="43" s="238" customFormat="1">
      <c r="A43" s="260" t="s">
        <v>145</v>
      </c>
      <c r="B43" s="261" t="s">
        <v>359</v>
      </c>
      <c r="C43" s="262" t="s">
        <v>354</v>
      </c>
      <c r="D43" s="263"/>
      <c r="E43" s="264"/>
      <c r="F43" s="265"/>
      <c r="G43" s="266"/>
      <c r="H43" s="265"/>
      <c r="I43" s="266"/>
      <c r="J43" s="265"/>
      <c r="K43" s="266"/>
      <c r="L43" s="265"/>
      <c r="M43" s="266"/>
      <c r="N43" s="265"/>
      <c r="O43" s="266"/>
      <c r="P43" s="265"/>
      <c r="Q43" s="266"/>
      <c r="R43" s="265">
        <f t="shared" si="11"/>
        <v>0</v>
      </c>
      <c r="S43" s="266">
        <f t="shared" si="12"/>
        <v>0</v>
      </c>
      <c r="T43" s="259"/>
      <c r="U43" s="197"/>
    </row>
    <row r="44" s="238" customFormat="1">
      <c r="A44" s="252" t="s">
        <v>147</v>
      </c>
      <c r="B44" s="253" t="s">
        <v>360</v>
      </c>
      <c r="C44" s="254" t="s">
        <v>354</v>
      </c>
      <c r="D44" s="276"/>
      <c r="E44" s="277">
        <f>13957/1000</f>
        <v>13.957000000000001</v>
      </c>
      <c r="F44" s="278">
        <f>F53+F62+F68+F69+F70+F73+F77</f>
        <v>12.078199999999999</v>
      </c>
      <c r="G44" s="279"/>
      <c r="H44" s="278">
        <f t="shared" ref="H44:Q44" si="14">H53+H62+H68+H69+H70+H73+H77</f>
        <v>18.634999999999998</v>
      </c>
      <c r="I44" s="279">
        <f t="shared" si="14"/>
        <v>18.634999999999998</v>
      </c>
      <c r="J44" s="278">
        <f t="shared" si="14"/>
        <v>19.398099999999999</v>
      </c>
      <c r="K44" s="279">
        <f t="shared" si="14"/>
        <v>19.398099999999999</v>
      </c>
      <c r="L44" s="278">
        <f>L53+L62+L68+L69+L70+L73+L77</f>
        <v>25.157100000000003</v>
      </c>
      <c r="M44" s="279">
        <f t="shared" si="14"/>
        <v>25.157100000000003</v>
      </c>
      <c r="N44" s="278">
        <f t="shared" si="14"/>
        <v>40.244806400000002</v>
      </c>
      <c r="O44" s="279">
        <f t="shared" si="14"/>
        <v>40.244806400000002</v>
      </c>
      <c r="P44" s="278">
        <f t="shared" si="14"/>
        <v>41.313834656000004</v>
      </c>
      <c r="Q44" s="279">
        <f t="shared" si="14"/>
        <v>41.313834656000004</v>
      </c>
      <c r="R44" s="278">
        <f t="shared" si="11"/>
        <v>144.748841056</v>
      </c>
      <c r="S44" s="279">
        <f t="shared" si="12"/>
        <v>144.748841056</v>
      </c>
      <c r="T44" s="259"/>
      <c r="U44" s="197"/>
    </row>
    <row r="45" s="238" customFormat="1">
      <c r="A45" s="260" t="s">
        <v>149</v>
      </c>
      <c r="B45" s="261" t="s">
        <v>361</v>
      </c>
      <c r="C45" s="262" t="s">
        <v>354</v>
      </c>
      <c r="D45" s="263"/>
      <c r="E45" s="264"/>
      <c r="F45" s="265"/>
      <c r="G45" s="266"/>
      <c r="H45" s="265"/>
      <c r="I45" s="266"/>
      <c r="J45" s="265"/>
      <c r="K45" s="266"/>
      <c r="L45" s="265"/>
      <c r="M45" s="266"/>
      <c r="N45" s="265"/>
      <c r="O45" s="266"/>
      <c r="P45" s="265"/>
      <c r="Q45" s="266"/>
      <c r="R45" s="265">
        <f t="shared" si="11"/>
        <v>0</v>
      </c>
      <c r="S45" s="266">
        <f t="shared" si="12"/>
        <v>0</v>
      </c>
      <c r="T45" s="259"/>
      <c r="U45" s="197"/>
    </row>
    <row r="46" s="238" customFormat="1">
      <c r="A46" s="260" t="s">
        <v>155</v>
      </c>
      <c r="B46" s="261" t="s">
        <v>362</v>
      </c>
      <c r="C46" s="262" t="s">
        <v>354</v>
      </c>
      <c r="D46" s="263"/>
      <c r="E46" s="264">
        <v>0</v>
      </c>
      <c r="F46" s="265"/>
      <c r="G46" s="266"/>
      <c r="H46" s="265"/>
      <c r="I46" s="266"/>
      <c r="J46" s="265"/>
      <c r="K46" s="266"/>
      <c r="L46" s="265"/>
      <c r="M46" s="266"/>
      <c r="N46" s="265"/>
      <c r="O46" s="266"/>
      <c r="P46" s="265"/>
      <c r="Q46" s="266"/>
      <c r="R46" s="265">
        <f t="shared" si="11"/>
        <v>0</v>
      </c>
      <c r="S46" s="266">
        <f t="shared" si="12"/>
        <v>0</v>
      </c>
      <c r="T46" s="259"/>
      <c r="U46" s="197"/>
    </row>
    <row r="47" s="238" customFormat="1">
      <c r="A47" s="260" t="s">
        <v>157</v>
      </c>
      <c r="B47" s="261" t="s">
        <v>364</v>
      </c>
      <c r="C47" s="262" t="s">
        <v>354</v>
      </c>
      <c r="D47" s="263"/>
      <c r="E47" s="264"/>
      <c r="F47" s="265"/>
      <c r="G47" s="266"/>
      <c r="H47" s="265"/>
      <c r="I47" s="266"/>
      <c r="J47" s="265"/>
      <c r="K47" s="266"/>
      <c r="L47" s="265"/>
      <c r="M47" s="266"/>
      <c r="N47" s="265"/>
      <c r="O47" s="266"/>
      <c r="P47" s="265"/>
      <c r="Q47" s="266"/>
      <c r="R47" s="265">
        <f t="shared" si="11"/>
        <v>0</v>
      </c>
      <c r="S47" s="266">
        <f t="shared" si="12"/>
        <v>0</v>
      </c>
      <c r="T47" s="259"/>
      <c r="U47" s="197"/>
    </row>
    <row r="48" s="238" customFormat="1">
      <c r="A48" s="260" t="s">
        <v>159</v>
      </c>
      <c r="B48" s="261" t="s">
        <v>366</v>
      </c>
      <c r="C48" s="262" t="s">
        <v>354</v>
      </c>
      <c r="D48" s="263"/>
      <c r="E48" s="264"/>
      <c r="F48" s="265"/>
      <c r="G48" s="266"/>
      <c r="H48" s="265"/>
      <c r="I48" s="266"/>
      <c r="J48" s="265"/>
      <c r="K48" s="266"/>
      <c r="L48" s="265"/>
      <c r="M48" s="266"/>
      <c r="N48" s="265"/>
      <c r="O48" s="266"/>
      <c r="P48" s="265"/>
      <c r="Q48" s="266"/>
      <c r="R48" s="265">
        <f t="shared" si="11"/>
        <v>0</v>
      </c>
      <c r="S48" s="266">
        <f t="shared" si="12"/>
        <v>0</v>
      </c>
      <c r="T48" s="259"/>
      <c r="U48" s="197"/>
    </row>
    <row r="49" s="238" customFormat="1" ht="30">
      <c r="A49" s="260" t="s">
        <v>380</v>
      </c>
      <c r="B49" s="267" t="s">
        <v>368</v>
      </c>
      <c r="C49" s="262" t="s">
        <v>354</v>
      </c>
      <c r="D49" s="263"/>
      <c r="E49" s="264"/>
      <c r="F49" s="265"/>
      <c r="G49" s="266"/>
      <c r="H49" s="265"/>
      <c r="I49" s="266"/>
      <c r="J49" s="265"/>
      <c r="K49" s="266"/>
      <c r="L49" s="265"/>
      <c r="M49" s="266"/>
      <c r="N49" s="265"/>
      <c r="O49" s="266"/>
      <c r="P49" s="265"/>
      <c r="Q49" s="266"/>
      <c r="R49" s="265">
        <f t="shared" si="11"/>
        <v>0</v>
      </c>
      <c r="S49" s="266">
        <f t="shared" si="12"/>
        <v>0</v>
      </c>
      <c r="T49" s="259"/>
      <c r="U49" s="197"/>
    </row>
    <row r="50" s="238" customFormat="1">
      <c r="A50" s="260" t="s">
        <v>381</v>
      </c>
      <c r="B50" s="267" t="s">
        <v>370</v>
      </c>
      <c r="C50" s="262" t="s">
        <v>354</v>
      </c>
      <c r="D50" s="263"/>
      <c r="E50" s="264"/>
      <c r="F50" s="265"/>
      <c r="G50" s="266"/>
      <c r="H50" s="265"/>
      <c r="I50" s="266"/>
      <c r="J50" s="265"/>
      <c r="K50" s="266"/>
      <c r="L50" s="265"/>
      <c r="M50" s="266"/>
      <c r="N50" s="265"/>
      <c r="O50" s="266"/>
      <c r="P50" s="265"/>
      <c r="Q50" s="266"/>
      <c r="R50" s="265">
        <f t="shared" si="11"/>
        <v>0</v>
      </c>
      <c r="S50" s="266">
        <f t="shared" si="12"/>
        <v>0</v>
      </c>
      <c r="T50" s="259"/>
      <c r="U50" s="197"/>
    </row>
    <row r="51" s="238" customFormat="1">
      <c r="A51" s="260" t="s">
        <v>382</v>
      </c>
      <c r="B51" s="267" t="s">
        <v>372</v>
      </c>
      <c r="C51" s="262" t="s">
        <v>354</v>
      </c>
      <c r="D51" s="263"/>
      <c r="E51" s="264"/>
      <c r="F51" s="265"/>
      <c r="G51" s="266"/>
      <c r="H51" s="265"/>
      <c r="I51" s="266"/>
      <c r="J51" s="265"/>
      <c r="K51" s="266"/>
      <c r="L51" s="265"/>
      <c r="M51" s="266"/>
      <c r="N51" s="265"/>
      <c r="O51" s="266"/>
      <c r="P51" s="265"/>
      <c r="Q51" s="266"/>
      <c r="R51" s="265">
        <f t="shared" si="11"/>
        <v>0</v>
      </c>
      <c r="S51" s="266">
        <f t="shared" si="12"/>
        <v>0</v>
      </c>
      <c r="T51" s="259"/>
      <c r="U51" s="197"/>
    </row>
    <row r="52" s="238" customFormat="1">
      <c r="A52" s="269" t="s">
        <v>383</v>
      </c>
      <c r="B52" s="270" t="s">
        <v>374</v>
      </c>
      <c r="C52" s="271" t="s">
        <v>354</v>
      </c>
      <c r="D52" s="263"/>
      <c r="E52" s="273">
        <f>1208/1000</f>
        <v>1.208</v>
      </c>
      <c r="F52" s="274"/>
      <c r="G52" s="275"/>
      <c r="H52" s="274"/>
      <c r="I52" s="275"/>
      <c r="J52" s="274"/>
      <c r="K52" s="275"/>
      <c r="L52" s="274"/>
      <c r="M52" s="275"/>
      <c r="N52" s="274"/>
      <c r="O52" s="275"/>
      <c r="P52" s="274"/>
      <c r="Q52" s="275"/>
      <c r="R52" s="274">
        <f t="shared" si="11"/>
        <v>0</v>
      </c>
      <c r="S52" s="275">
        <f t="shared" si="12"/>
        <v>0</v>
      </c>
      <c r="T52" s="259"/>
      <c r="U52" s="197"/>
    </row>
    <row r="53" s="238" customFormat="1">
      <c r="A53" s="252" t="s">
        <v>384</v>
      </c>
      <c r="B53" s="253" t="s">
        <v>385</v>
      </c>
      <c r="C53" s="254" t="s">
        <v>354</v>
      </c>
      <c r="D53" s="281"/>
      <c r="E53" s="277">
        <f>E54+E55+E60+E61</f>
        <v>1.90001</v>
      </c>
      <c r="F53" s="278">
        <f t="shared" ref="F53:Q53" si="15">F54+F55+F60+F61</f>
        <v>3.9011999999999998</v>
      </c>
      <c r="G53" s="279">
        <f t="shared" si="15"/>
        <v>0</v>
      </c>
      <c r="H53" s="278">
        <f>H54+H55+H60+H61</f>
        <v>3.8031000000000001</v>
      </c>
      <c r="I53" s="279">
        <f t="shared" si="15"/>
        <v>3.8031000000000001</v>
      </c>
      <c r="J53" s="278">
        <f t="shared" si="15"/>
        <v>3.9542999999999999</v>
      </c>
      <c r="K53" s="279">
        <f t="shared" si="15"/>
        <v>3.9542999999999999</v>
      </c>
      <c r="L53" s="278">
        <f t="shared" si="15"/>
        <v>5.4789000000000003</v>
      </c>
      <c r="M53" s="279">
        <f t="shared" si="15"/>
        <v>5.4789000000000003</v>
      </c>
      <c r="N53" s="278">
        <f t="shared" si="15"/>
        <v>9.4416224000000017</v>
      </c>
      <c r="O53" s="279">
        <f t="shared" si="15"/>
        <v>9.4416224000000017</v>
      </c>
      <c r="P53" s="278">
        <f t="shared" si="15"/>
        <v>9.8192872960000024</v>
      </c>
      <c r="Q53" s="279">
        <f t="shared" si="15"/>
        <v>9.8192872960000024</v>
      </c>
      <c r="R53" s="278">
        <f t="shared" si="11"/>
        <v>32.497209695999999</v>
      </c>
      <c r="S53" s="279">
        <f t="shared" si="12"/>
        <v>32.497209695999999</v>
      </c>
      <c r="T53" s="259"/>
      <c r="U53" s="197"/>
    </row>
    <row r="54" s="238" customFormat="1">
      <c r="A54" s="260" t="s">
        <v>377</v>
      </c>
      <c r="B54" s="267" t="s">
        <v>386</v>
      </c>
      <c r="C54" s="262" t="s">
        <v>354</v>
      </c>
      <c r="D54" s="263"/>
      <c r="E54" s="264"/>
      <c r="F54" s="265"/>
      <c r="G54" s="266"/>
      <c r="H54" s="265"/>
      <c r="I54" s="266"/>
      <c r="J54" s="265"/>
      <c r="K54" s="266"/>
      <c r="L54" s="265"/>
      <c r="M54" s="266"/>
      <c r="N54" s="265"/>
      <c r="O54" s="266"/>
      <c r="P54" s="265"/>
      <c r="Q54" s="266"/>
      <c r="R54" s="265">
        <f t="shared" si="11"/>
        <v>0</v>
      </c>
      <c r="S54" s="266">
        <f t="shared" si="12"/>
        <v>0</v>
      </c>
      <c r="T54" s="259"/>
      <c r="U54" s="197"/>
    </row>
    <row r="55" s="238" customFormat="1">
      <c r="A55" s="282" t="s">
        <v>378</v>
      </c>
      <c r="B55" s="283" t="s">
        <v>387</v>
      </c>
      <c r="C55" s="284" t="s">
        <v>354</v>
      </c>
      <c r="D55" s="281"/>
      <c r="E55" s="285">
        <f t="shared" ref="E55:Q55" si="16">E56+E59</f>
        <v>1.84572</v>
      </c>
      <c r="F55" s="286">
        <f t="shared" si="16"/>
        <v>3.8376999999999999</v>
      </c>
      <c r="G55" s="287">
        <f t="shared" si="16"/>
        <v>0</v>
      </c>
      <c r="H55" s="286">
        <f t="shared" si="16"/>
        <v>3.7582</v>
      </c>
      <c r="I55" s="287">
        <f t="shared" si="16"/>
        <v>3.7582</v>
      </c>
      <c r="J55" s="286">
        <f t="shared" si="16"/>
        <v>3.9085000000000001</v>
      </c>
      <c r="K55" s="287">
        <f t="shared" si="16"/>
        <v>3.9085000000000001</v>
      </c>
      <c r="L55" s="286">
        <f t="shared" si="16"/>
        <v>5.2346000000000004</v>
      </c>
      <c r="M55" s="287">
        <f t="shared" si="16"/>
        <v>5.2346000000000004</v>
      </c>
      <c r="N55" s="286">
        <f t="shared" si="16"/>
        <v>9.2498224000000011</v>
      </c>
      <c r="O55" s="287">
        <f t="shared" si="16"/>
        <v>9.2498224000000011</v>
      </c>
      <c r="P55" s="286">
        <f t="shared" si="16"/>
        <v>9.6198152960000023</v>
      </c>
      <c r="Q55" s="287">
        <f t="shared" si="16"/>
        <v>9.6198152960000023</v>
      </c>
      <c r="R55" s="286">
        <f t="shared" si="11"/>
        <v>31.770937696000004</v>
      </c>
      <c r="S55" s="287">
        <f t="shared" si="12"/>
        <v>31.770937696000004</v>
      </c>
      <c r="T55" s="259"/>
      <c r="U55" s="197"/>
    </row>
    <row r="56" s="238" customFormat="1">
      <c r="A56" s="282" t="s">
        <v>388</v>
      </c>
      <c r="B56" s="288" t="s">
        <v>389</v>
      </c>
      <c r="C56" s="284" t="s">
        <v>354</v>
      </c>
      <c r="D56" s="281"/>
      <c r="E56" s="285">
        <f>E57+E58</f>
        <v>1.84572</v>
      </c>
      <c r="F56" s="286">
        <f t="shared" ref="F56:Q56" si="17">F57</f>
        <v>3.8376999999999999</v>
      </c>
      <c r="G56" s="287">
        <f t="shared" si="17"/>
        <v>0</v>
      </c>
      <c r="H56" s="286">
        <f t="shared" si="17"/>
        <v>3.7582</v>
      </c>
      <c r="I56" s="287">
        <f t="shared" si="17"/>
        <v>3.7582</v>
      </c>
      <c r="J56" s="286">
        <f t="shared" si="17"/>
        <v>3.9085000000000001</v>
      </c>
      <c r="K56" s="287">
        <f t="shared" si="17"/>
        <v>3.9085000000000001</v>
      </c>
      <c r="L56" s="286">
        <f t="shared" si="17"/>
        <v>5.2346000000000004</v>
      </c>
      <c r="M56" s="287">
        <f t="shared" si="17"/>
        <v>5.2346000000000004</v>
      </c>
      <c r="N56" s="286">
        <f t="shared" si="17"/>
        <v>9.2498224000000011</v>
      </c>
      <c r="O56" s="287">
        <f t="shared" si="17"/>
        <v>9.2498224000000011</v>
      </c>
      <c r="P56" s="286">
        <f t="shared" si="17"/>
        <v>9.6198152960000023</v>
      </c>
      <c r="Q56" s="287">
        <f t="shared" si="17"/>
        <v>9.6198152960000023</v>
      </c>
      <c r="R56" s="286">
        <f t="shared" si="11"/>
        <v>31.770937696000004</v>
      </c>
      <c r="S56" s="287">
        <f t="shared" si="12"/>
        <v>31.770937696000004</v>
      </c>
      <c r="T56" s="259"/>
      <c r="U56" s="197"/>
    </row>
    <row r="57" s="238" customFormat="1">
      <c r="A57" s="260" t="s">
        <v>390</v>
      </c>
      <c r="B57" s="289" t="s">
        <v>391</v>
      </c>
      <c r="C57" s="262" t="s">
        <v>354</v>
      </c>
      <c r="D57" s="268"/>
      <c r="E57" s="264">
        <f>1845.72/1000</f>
        <v>1.84572</v>
      </c>
      <c r="F57" s="265">
        <f>3837.6999999999998/1000</f>
        <v>3.8376999999999999</v>
      </c>
      <c r="G57" s="266"/>
      <c r="H57" s="265">
        <v>3.7582</v>
      </c>
      <c r="I57" s="266">
        <f>H57</f>
        <v>3.7582</v>
      </c>
      <c r="J57" s="265">
        <v>3.9085000000000001</v>
      </c>
      <c r="K57" s="266">
        <f>J57</f>
        <v>3.9085000000000001</v>
      </c>
      <c r="L57" s="265">
        <v>5.2346000000000004</v>
      </c>
      <c r="M57" s="266">
        <f>L57</f>
        <v>5.2346000000000004</v>
      </c>
      <c r="N57" s="265">
        <f>L57*1.04+3.6594600000000002*1.04</f>
        <v>9.2498224000000011</v>
      </c>
      <c r="O57" s="266">
        <f>N57</f>
        <v>9.2498224000000011</v>
      </c>
      <c r="P57" s="265">
        <f>N57*1.04</f>
        <v>9.6198152960000023</v>
      </c>
      <c r="Q57" s="266">
        <f>P57</f>
        <v>9.6198152960000023</v>
      </c>
      <c r="R57" s="265">
        <f t="shared" si="11"/>
        <v>31.770937696000004</v>
      </c>
      <c r="S57" s="266">
        <f t="shared" si="12"/>
        <v>31.770937696000004</v>
      </c>
      <c r="T57" s="259"/>
      <c r="U57" s="197"/>
    </row>
    <row r="58" s="238" customFormat="1">
      <c r="A58" s="260" t="s">
        <v>392</v>
      </c>
      <c r="B58" s="289" t="s">
        <v>393</v>
      </c>
      <c r="C58" s="262" t="s">
        <v>354</v>
      </c>
      <c r="D58" s="263"/>
      <c r="E58" s="264"/>
      <c r="F58" s="265"/>
      <c r="G58" s="266"/>
      <c r="H58" s="265"/>
      <c r="I58" s="266"/>
      <c r="J58" s="265"/>
      <c r="K58" s="266"/>
      <c r="L58" s="265"/>
      <c r="M58" s="266"/>
      <c r="N58" s="265"/>
      <c r="O58" s="266"/>
      <c r="P58" s="265"/>
      <c r="Q58" s="266"/>
      <c r="R58" s="265">
        <f t="shared" si="11"/>
        <v>0</v>
      </c>
      <c r="S58" s="266">
        <f t="shared" si="12"/>
        <v>0</v>
      </c>
      <c r="T58" s="259"/>
      <c r="U58" s="197"/>
    </row>
    <row r="59" s="238" customFormat="1">
      <c r="A59" s="260" t="s">
        <v>394</v>
      </c>
      <c r="B59" s="267" t="s">
        <v>395</v>
      </c>
      <c r="C59" s="262" t="s">
        <v>354</v>
      </c>
      <c r="D59" s="263"/>
      <c r="E59" s="264"/>
      <c r="F59" s="265"/>
      <c r="G59" s="266"/>
      <c r="H59" s="265"/>
      <c r="I59" s="266"/>
      <c r="J59" s="265"/>
      <c r="K59" s="266"/>
      <c r="L59" s="265"/>
      <c r="M59" s="266"/>
      <c r="N59" s="265"/>
      <c r="O59" s="266"/>
      <c r="P59" s="265"/>
      <c r="Q59" s="266"/>
      <c r="R59" s="265">
        <f t="shared" si="11"/>
        <v>0</v>
      </c>
      <c r="S59" s="266">
        <f t="shared" si="12"/>
        <v>0</v>
      </c>
      <c r="T59" s="259"/>
      <c r="U59" s="197"/>
    </row>
    <row r="60" s="238" customFormat="1">
      <c r="A60" s="260" t="s">
        <v>379</v>
      </c>
      <c r="B60" s="261" t="s">
        <v>396</v>
      </c>
      <c r="C60" s="262" t="s">
        <v>354</v>
      </c>
      <c r="D60" s="268"/>
      <c r="E60" s="264">
        <f>54.289999999999999/1000</f>
        <v>0.054289999999999998</v>
      </c>
      <c r="F60" s="265">
        <f>63.5/1000</f>
        <v>0.063500000000000001</v>
      </c>
      <c r="G60" s="266"/>
      <c r="H60" s="265">
        <v>0.044900000000000002</v>
      </c>
      <c r="I60" s="266">
        <f>H60</f>
        <v>0.044900000000000002</v>
      </c>
      <c r="J60" s="265">
        <v>0.0458</v>
      </c>
      <c r="K60" s="266">
        <f>J60</f>
        <v>0.0458</v>
      </c>
      <c r="L60" s="265">
        <v>0.059200000000000003</v>
      </c>
      <c r="M60" s="266">
        <f>L60</f>
        <v>0.059200000000000003</v>
      </c>
      <c r="N60" s="265">
        <f>0.058999999999999997+0.1328</f>
        <v>0.1918</v>
      </c>
      <c r="O60" s="266">
        <f>N60</f>
        <v>0.1918</v>
      </c>
      <c r="P60" s="265">
        <f>N60*1.04</f>
        <v>0.19947200000000001</v>
      </c>
      <c r="Q60" s="266">
        <f>P60</f>
        <v>0.19947200000000001</v>
      </c>
      <c r="R60" s="265">
        <f t="shared" si="11"/>
        <v>0.54117199999999999</v>
      </c>
      <c r="S60" s="266">
        <f t="shared" si="12"/>
        <v>0.54117199999999999</v>
      </c>
      <c r="T60" s="259"/>
      <c r="U60" s="197"/>
    </row>
    <row r="61" s="238" customFormat="1">
      <c r="A61" s="269" t="s">
        <v>397</v>
      </c>
      <c r="B61" s="270" t="s">
        <v>398</v>
      </c>
      <c r="C61" s="271" t="s">
        <v>354</v>
      </c>
      <c r="D61" s="263"/>
      <c r="E61" s="273"/>
      <c r="F61" s="274"/>
      <c r="G61" s="275"/>
      <c r="H61" s="274">
        <v>0</v>
      </c>
      <c r="I61" s="275"/>
      <c r="J61" s="274"/>
      <c r="K61" s="275"/>
      <c r="L61" s="274">
        <v>0.18509999999999999</v>
      </c>
      <c r="M61" s="274">
        <v>0.18509999999999999</v>
      </c>
      <c r="N61" s="274"/>
      <c r="O61" s="275"/>
      <c r="P61" s="274"/>
      <c r="Q61" s="275"/>
      <c r="R61" s="274">
        <f t="shared" si="11"/>
        <v>0.18509999999999999</v>
      </c>
      <c r="S61" s="275">
        <f t="shared" si="12"/>
        <v>0.18509999999999999</v>
      </c>
      <c r="T61" s="259"/>
      <c r="U61" s="197"/>
    </row>
    <row r="62" s="238" customFormat="1">
      <c r="A62" s="252" t="s">
        <v>399</v>
      </c>
      <c r="B62" s="253" t="s">
        <v>400</v>
      </c>
      <c r="C62" s="254" t="s">
        <v>354</v>
      </c>
      <c r="D62" s="281"/>
      <c r="E62" s="277">
        <f>E63+E64+E65+E66+E67</f>
        <v>0.95228999999999997</v>
      </c>
      <c r="F62" s="278">
        <f t="shared" ref="F62:Q62" si="18">F63+F64+F65+F66+F67</f>
        <v>0</v>
      </c>
      <c r="G62" s="279">
        <f t="shared" si="18"/>
        <v>0</v>
      </c>
      <c r="H62" s="278">
        <f>H63+H64+H65+H66+H67</f>
        <v>0.51289999999999969</v>
      </c>
      <c r="I62" s="279">
        <f t="shared" si="18"/>
        <v>0.51289999999999969</v>
      </c>
      <c r="J62" s="278">
        <f t="shared" si="18"/>
        <v>0.48938779999999982</v>
      </c>
      <c r="K62" s="279">
        <f t="shared" si="18"/>
        <v>0.48938779999999982</v>
      </c>
      <c r="L62" s="278">
        <f t="shared" si="18"/>
        <v>0.67500000000000027</v>
      </c>
      <c r="M62" s="279">
        <f t="shared" si="18"/>
        <v>0.67500000000000027</v>
      </c>
      <c r="N62" s="278">
        <f t="shared" si="18"/>
        <v>2.3678279999999998</v>
      </c>
      <c r="O62" s="279">
        <f t="shared" si="18"/>
        <v>2.3678279999999998</v>
      </c>
      <c r="P62" s="278">
        <f t="shared" si="18"/>
        <v>2.46254112</v>
      </c>
      <c r="Q62" s="279">
        <f t="shared" si="18"/>
        <v>2.46254112</v>
      </c>
      <c r="R62" s="278">
        <f t="shared" si="11"/>
        <v>6.5076569199999996</v>
      </c>
      <c r="S62" s="279">
        <f t="shared" si="12"/>
        <v>6.5076569199999996</v>
      </c>
      <c r="T62" s="259"/>
      <c r="U62" s="197"/>
    </row>
    <row r="63" s="238" customFormat="1" ht="30">
      <c r="A63" s="260" t="s">
        <v>401</v>
      </c>
      <c r="B63" s="267" t="s">
        <v>402</v>
      </c>
      <c r="C63" s="262" t="s">
        <v>354</v>
      </c>
      <c r="D63" s="268"/>
      <c r="E63" s="264">
        <v>0</v>
      </c>
      <c r="F63" s="265">
        <v>0</v>
      </c>
      <c r="G63" s="266"/>
      <c r="H63" s="265">
        <f>F63*1.04</f>
        <v>0</v>
      </c>
      <c r="I63" s="266"/>
      <c r="J63" s="265">
        <f>H63*1.04</f>
        <v>0</v>
      </c>
      <c r="K63" s="266"/>
      <c r="L63" s="265">
        <f>J63*1.04</f>
        <v>0</v>
      </c>
      <c r="M63" s="266"/>
      <c r="N63" s="265">
        <f>L63*1.04</f>
        <v>0</v>
      </c>
      <c r="O63" s="266"/>
      <c r="P63" s="265">
        <f>N63*1.04</f>
        <v>0</v>
      </c>
      <c r="Q63" s="266"/>
      <c r="R63" s="265">
        <f t="shared" si="11"/>
        <v>0</v>
      </c>
      <c r="S63" s="266">
        <f t="shared" si="12"/>
        <v>0</v>
      </c>
      <c r="T63" s="259"/>
      <c r="U63" s="197"/>
    </row>
    <row r="64" s="238" customFormat="1" ht="30">
      <c r="A64" s="260" t="s">
        <v>403</v>
      </c>
      <c r="B64" s="267" t="s">
        <v>404</v>
      </c>
      <c r="C64" s="262" t="s">
        <v>354</v>
      </c>
      <c r="D64" s="268"/>
      <c r="E64" s="264"/>
      <c r="F64" s="265"/>
      <c r="G64" s="266"/>
      <c r="H64" s="265"/>
      <c r="I64" s="266"/>
      <c r="J64" s="265"/>
      <c r="K64" s="266"/>
      <c r="L64" s="265"/>
      <c r="M64" s="266"/>
      <c r="N64" s="265"/>
      <c r="O64" s="266"/>
      <c r="P64" s="265"/>
      <c r="Q64" s="266"/>
      <c r="R64" s="265">
        <f t="shared" si="11"/>
        <v>0</v>
      </c>
      <c r="S64" s="266">
        <f t="shared" si="12"/>
        <v>0</v>
      </c>
      <c r="T64" s="259"/>
      <c r="U64" s="197"/>
    </row>
    <row r="65" s="238" customFormat="1">
      <c r="A65" s="260" t="s">
        <v>405</v>
      </c>
      <c r="B65" s="261" t="s">
        <v>406</v>
      </c>
      <c r="C65" s="262" t="s">
        <v>354</v>
      </c>
      <c r="D65" s="263"/>
      <c r="E65" s="264"/>
      <c r="F65" s="265"/>
      <c r="G65" s="266"/>
      <c r="H65" s="265"/>
      <c r="I65" s="266"/>
      <c r="J65" s="265"/>
      <c r="K65" s="266"/>
      <c r="L65" s="265"/>
      <c r="M65" s="266"/>
      <c r="N65" s="265"/>
      <c r="O65" s="266"/>
      <c r="P65" s="265"/>
      <c r="Q65" s="266"/>
      <c r="R65" s="265">
        <f t="shared" si="11"/>
        <v>0</v>
      </c>
      <c r="S65" s="266">
        <f t="shared" si="12"/>
        <v>0</v>
      </c>
      <c r="T65" s="259"/>
      <c r="U65" s="197"/>
    </row>
    <row r="66" s="238" customFormat="1">
      <c r="A66" s="260" t="s">
        <v>407</v>
      </c>
      <c r="B66" s="261" t="s">
        <v>408</v>
      </c>
      <c r="C66" s="262" t="s">
        <v>354</v>
      </c>
      <c r="D66" s="263"/>
      <c r="E66" s="264"/>
      <c r="F66" s="265"/>
      <c r="G66" s="266"/>
      <c r="H66" s="265"/>
      <c r="I66" s="266"/>
      <c r="J66" s="265"/>
      <c r="K66" s="266"/>
      <c r="L66" s="265"/>
      <c r="M66" s="266"/>
      <c r="N66" s="265"/>
      <c r="O66" s="266"/>
      <c r="P66" s="265"/>
      <c r="Q66" s="266"/>
      <c r="R66" s="265">
        <f t="shared" si="11"/>
        <v>0</v>
      </c>
      <c r="S66" s="266">
        <f t="shared" si="12"/>
        <v>0</v>
      </c>
      <c r="T66" s="259"/>
      <c r="U66" s="197"/>
    </row>
    <row r="67" s="238" customFormat="1">
      <c r="A67" s="290" t="s">
        <v>409</v>
      </c>
      <c r="B67" s="291" t="s">
        <v>410</v>
      </c>
      <c r="C67" s="292" t="s">
        <v>354</v>
      </c>
      <c r="D67" s="293"/>
      <c r="E67" s="294">
        <f>952.28999999999996/1000</f>
        <v>0.95228999999999997</v>
      </c>
      <c r="F67" s="295"/>
      <c r="G67" s="296"/>
      <c r="H67" s="295">
        <f>2.0926999999999998-H78</f>
        <v>0.51289999999999969</v>
      </c>
      <c r="I67" s="296">
        <f t="shared" ref="I67:I68" si="19">H67</f>
        <v>0.51289999999999969</v>
      </c>
      <c r="J67" s="295">
        <f>2.1307999999999998-J78</f>
        <v>0.48938779999999982</v>
      </c>
      <c r="K67" s="296">
        <f t="shared" ref="K67:K68" si="20">J67</f>
        <v>0.48938779999999982</v>
      </c>
      <c r="L67" s="295">
        <f>2.7543000000000002-L78</f>
        <v>0.67500000000000027</v>
      </c>
      <c r="M67" s="296">
        <f t="shared" ref="M67:M68" si="21">L67</f>
        <v>0.67500000000000027</v>
      </c>
      <c r="N67" s="295">
        <f>2.7543000000000002+3.5253999999999999-N78</f>
        <v>2.3678279999999998</v>
      </c>
      <c r="O67" s="296">
        <f t="shared" ref="O67:O68" si="22">N67</f>
        <v>2.3678279999999998</v>
      </c>
      <c r="P67" s="295">
        <f>(2.7543000000000002+3.5253999999999999)*1.04-P78</f>
        <v>2.46254112</v>
      </c>
      <c r="Q67" s="296">
        <f t="shared" ref="Q67:Q68" si="23">P67</f>
        <v>2.46254112</v>
      </c>
      <c r="R67" s="295">
        <f t="shared" si="11"/>
        <v>6.5076569199999996</v>
      </c>
      <c r="S67" s="296">
        <f t="shared" si="12"/>
        <v>6.5076569199999996</v>
      </c>
      <c r="T67" s="259"/>
      <c r="U67" s="197"/>
    </row>
    <row r="68" s="238" customFormat="1">
      <c r="A68" s="297" t="s">
        <v>411</v>
      </c>
      <c r="B68" s="298" t="s">
        <v>412</v>
      </c>
      <c r="C68" s="299" t="s">
        <v>354</v>
      </c>
      <c r="D68" s="300"/>
      <c r="E68" s="301">
        <f>(2729.3099999999999+826.24000000000001)/1000</f>
        <v>3.5555500000000002</v>
      </c>
      <c r="F68" s="302">
        <f>(1495.4000000000001+453.10000000000002)/1000</f>
        <v>1.9484999999999999</v>
      </c>
      <c r="G68" s="303"/>
      <c r="H68" s="302">
        <f>3.5026999999999999+1.0612999999999999</f>
        <v>4.5640000000000001</v>
      </c>
      <c r="I68" s="303">
        <f t="shared" si="19"/>
        <v>4.5640000000000001</v>
      </c>
      <c r="J68" s="302">
        <f>3.5665+1.0807</f>
        <v>4.6471999999999998</v>
      </c>
      <c r="K68" s="303">
        <f t="shared" si="20"/>
        <v>4.6471999999999998</v>
      </c>
      <c r="L68" s="302">
        <f>4.6101000000000001+1.3968</f>
        <v>6.0068999999999999</v>
      </c>
      <c r="M68" s="303">
        <f t="shared" si="21"/>
        <v>6.0068999999999999</v>
      </c>
      <c r="N68" s="302">
        <f>4.6101000000000001+1.3968+3.5367000000000002</f>
        <v>9.5435999999999996</v>
      </c>
      <c r="O68" s="303">
        <f t="shared" si="22"/>
        <v>9.5435999999999996</v>
      </c>
      <c r="P68" s="302">
        <f>N68*1.04</f>
        <v>9.9253440000000008</v>
      </c>
      <c r="Q68" s="303">
        <f t="shared" si="23"/>
        <v>9.9253440000000008</v>
      </c>
      <c r="R68" s="302">
        <f t="shared" si="11"/>
        <v>34.687044</v>
      </c>
      <c r="S68" s="303">
        <f t="shared" si="12"/>
        <v>34.687044</v>
      </c>
      <c r="T68" s="259"/>
      <c r="U68" s="197"/>
    </row>
    <row r="69" s="304" customFormat="1">
      <c r="A69" s="297" t="s">
        <v>413</v>
      </c>
      <c r="B69" s="298" t="s">
        <v>414</v>
      </c>
      <c r="C69" s="299" t="s">
        <v>354</v>
      </c>
      <c r="D69" s="305"/>
      <c r="E69" s="301"/>
      <c r="F69" s="306"/>
      <c r="G69" s="303"/>
      <c r="H69" s="306">
        <v>0</v>
      </c>
      <c r="I69" s="303"/>
      <c r="J69" s="306">
        <v>0</v>
      </c>
      <c r="K69" s="303"/>
      <c r="L69" s="306"/>
      <c r="M69" s="303"/>
      <c r="N69" s="306"/>
      <c r="O69" s="303"/>
      <c r="P69" s="306"/>
      <c r="Q69" s="303"/>
      <c r="R69" s="306">
        <f t="shared" si="11"/>
        <v>0</v>
      </c>
      <c r="S69" s="303">
        <f t="shared" si="12"/>
        <v>0</v>
      </c>
      <c r="T69" s="259"/>
      <c r="U69" s="202"/>
    </row>
    <row r="70" s="238" customFormat="1">
      <c r="A70" s="252" t="s">
        <v>415</v>
      </c>
      <c r="B70" s="253" t="s">
        <v>416</v>
      </c>
      <c r="C70" s="254" t="s">
        <v>354</v>
      </c>
      <c r="D70" s="255"/>
      <c r="E70" s="277">
        <f t="shared" ref="E70:Q70" si="24">E71+E72</f>
        <v>0</v>
      </c>
      <c r="F70" s="307">
        <f t="shared" si="24"/>
        <v>0</v>
      </c>
      <c r="G70" s="279">
        <f t="shared" si="24"/>
        <v>0</v>
      </c>
      <c r="H70" s="307">
        <f t="shared" si="24"/>
        <v>0.1905</v>
      </c>
      <c r="I70" s="279">
        <f t="shared" si="24"/>
        <v>0.1905</v>
      </c>
      <c r="J70" s="307">
        <f t="shared" si="24"/>
        <v>0.19389999999999999</v>
      </c>
      <c r="K70" s="279">
        <f t="shared" si="24"/>
        <v>0.19389999999999999</v>
      </c>
      <c r="L70" s="307">
        <f t="shared" si="24"/>
        <v>0.23760000000000001</v>
      </c>
      <c r="M70" s="279">
        <f t="shared" si="24"/>
        <v>0.23760000000000001</v>
      </c>
      <c r="N70" s="307">
        <f t="shared" si="24"/>
        <v>0.34999999999999998</v>
      </c>
      <c r="O70" s="279">
        <f t="shared" si="24"/>
        <v>0.34999999999999998</v>
      </c>
      <c r="P70" s="307">
        <f t="shared" si="24"/>
        <v>0.34999999999999998</v>
      </c>
      <c r="Q70" s="279">
        <f t="shared" si="24"/>
        <v>0.34999999999999998</v>
      </c>
      <c r="R70" s="307">
        <f t="shared" si="11"/>
        <v>1.3220000000000001</v>
      </c>
      <c r="S70" s="279">
        <f t="shared" si="12"/>
        <v>1.3220000000000001</v>
      </c>
      <c r="T70" s="259"/>
      <c r="U70" s="197"/>
    </row>
    <row r="71" s="238" customFormat="1">
      <c r="A71" s="260" t="s">
        <v>417</v>
      </c>
      <c r="B71" s="261" t="s">
        <v>418</v>
      </c>
      <c r="C71" s="262" t="s">
        <v>354</v>
      </c>
      <c r="D71" s="268"/>
      <c r="E71" s="264"/>
      <c r="F71" s="308"/>
      <c r="G71" s="266"/>
      <c r="H71" s="308"/>
      <c r="I71" s="266"/>
      <c r="J71" s="308"/>
      <c r="K71" s="266"/>
      <c r="L71" s="308"/>
      <c r="M71" s="266"/>
      <c r="N71" s="308"/>
      <c r="O71" s="266"/>
      <c r="P71" s="308"/>
      <c r="Q71" s="266"/>
      <c r="R71" s="308">
        <f t="shared" si="11"/>
        <v>0</v>
      </c>
      <c r="S71" s="266">
        <f t="shared" si="12"/>
        <v>0</v>
      </c>
      <c r="T71" s="259"/>
      <c r="U71" s="197"/>
    </row>
    <row r="72" s="238" customFormat="1">
      <c r="A72" s="269" t="s">
        <v>419</v>
      </c>
      <c r="B72" s="270" t="s">
        <v>420</v>
      </c>
      <c r="C72" s="271" t="s">
        <v>354</v>
      </c>
      <c r="D72" s="272"/>
      <c r="E72" s="273"/>
      <c r="F72" s="309"/>
      <c r="G72" s="275"/>
      <c r="H72" s="309">
        <v>0.1905</v>
      </c>
      <c r="I72" s="275">
        <f>H72</f>
        <v>0.1905</v>
      </c>
      <c r="J72" s="265">
        <v>0.19389999999999999</v>
      </c>
      <c r="K72" s="275">
        <f>J72</f>
        <v>0.19389999999999999</v>
      </c>
      <c r="L72" s="265">
        <v>0.23760000000000001</v>
      </c>
      <c r="M72" s="275">
        <f>L72</f>
        <v>0.23760000000000001</v>
      </c>
      <c r="N72" s="309">
        <v>0.34999999999999998</v>
      </c>
      <c r="O72" s="275">
        <f>N72</f>
        <v>0.34999999999999998</v>
      </c>
      <c r="P72" s="309">
        <f>N72</f>
        <v>0.34999999999999998</v>
      </c>
      <c r="Q72" s="275">
        <f>P72</f>
        <v>0.34999999999999998</v>
      </c>
      <c r="R72" s="309">
        <f t="shared" si="11"/>
        <v>1.3220000000000001</v>
      </c>
      <c r="S72" s="275">
        <f t="shared" si="12"/>
        <v>1.3220000000000001</v>
      </c>
      <c r="T72" s="259"/>
      <c r="U72" s="197"/>
    </row>
    <row r="73" s="238" customFormat="1">
      <c r="A73" s="310" t="s">
        <v>421</v>
      </c>
      <c r="B73" s="311" t="s">
        <v>422</v>
      </c>
      <c r="C73" s="312" t="s">
        <v>354</v>
      </c>
      <c r="D73" s="276"/>
      <c r="E73" s="277">
        <f t="shared" ref="E73:Q73" si="25">E74+E75+E76</f>
        <v>8.8422999999999998</v>
      </c>
      <c r="F73" s="278">
        <f t="shared" si="25"/>
        <v>6.0244</v>
      </c>
      <c r="G73" s="279">
        <f t="shared" si="25"/>
        <v>0</v>
      </c>
      <c r="H73" s="278">
        <f t="shared" si="25"/>
        <v>7.9847000000000001</v>
      </c>
      <c r="I73" s="279">
        <f t="shared" si="25"/>
        <v>7.9847000000000001</v>
      </c>
      <c r="J73" s="278">
        <f t="shared" si="25"/>
        <v>8.4718999999999998</v>
      </c>
      <c r="K73" s="279">
        <f t="shared" si="25"/>
        <v>8.4718999999999998</v>
      </c>
      <c r="L73" s="278">
        <f t="shared" si="25"/>
        <v>10.679400000000001</v>
      </c>
      <c r="M73" s="279">
        <f t="shared" si="25"/>
        <v>10.679400000000001</v>
      </c>
      <c r="N73" s="278">
        <f t="shared" si="25"/>
        <v>14.629884000000001</v>
      </c>
      <c r="O73" s="279">
        <f t="shared" si="25"/>
        <v>14.629884000000001</v>
      </c>
      <c r="P73" s="278">
        <f t="shared" si="25"/>
        <v>14.688315360000001</v>
      </c>
      <c r="Q73" s="279">
        <f t="shared" si="25"/>
        <v>14.688315360000001</v>
      </c>
      <c r="R73" s="278">
        <f t="shared" si="11"/>
        <v>56.454199360000004</v>
      </c>
      <c r="S73" s="279">
        <f t="shared" si="12"/>
        <v>56.454199360000004</v>
      </c>
      <c r="T73" s="259"/>
      <c r="U73" s="197"/>
    </row>
    <row r="74" s="238" customFormat="1">
      <c r="A74" s="260" t="s">
        <v>423</v>
      </c>
      <c r="B74" s="261" t="s">
        <v>424</v>
      </c>
      <c r="C74" s="262" t="s">
        <v>354</v>
      </c>
      <c r="D74" s="268"/>
      <c r="E74" s="264"/>
      <c r="F74" s="265"/>
      <c r="G74" s="266"/>
      <c r="H74" s="265"/>
      <c r="I74" s="266"/>
      <c r="J74" s="265"/>
      <c r="K74" s="266"/>
      <c r="L74" s="265"/>
      <c r="M74" s="266"/>
      <c r="N74" s="265"/>
      <c r="O74" s="266"/>
      <c r="P74" s="265"/>
      <c r="Q74" s="266"/>
      <c r="R74" s="265">
        <f t="shared" si="11"/>
        <v>0</v>
      </c>
      <c r="S74" s="266">
        <f t="shared" si="12"/>
        <v>0</v>
      </c>
      <c r="T74" s="259"/>
      <c r="U74" s="197"/>
    </row>
    <row r="75" s="238" customFormat="1" ht="15.75" customHeight="1">
      <c r="A75" s="260" t="s">
        <v>425</v>
      </c>
      <c r="B75" s="261" t="s">
        <v>426</v>
      </c>
      <c r="C75" s="262" t="s">
        <v>354</v>
      </c>
      <c r="D75" s="268"/>
      <c r="E75" s="264">
        <f>7016.9899999999998/1000</f>
        <v>7.0169899999999998</v>
      </c>
      <c r="F75" s="265">
        <f>5775.5/1000</f>
        <v>5.7755000000000001</v>
      </c>
      <c r="G75" s="266"/>
      <c r="H75" s="265">
        <v>7.8045</v>
      </c>
      <c r="I75" s="266">
        <f t="shared" ref="I75:I76" si="26">H75</f>
        <v>7.8045</v>
      </c>
      <c r="J75" s="265">
        <f>H75</f>
        <v>7.8045</v>
      </c>
      <c r="K75" s="266">
        <f t="shared" ref="K75:K76" si="27">J75</f>
        <v>7.8045</v>
      </c>
      <c r="L75" s="265">
        <v>9.8168000000000006</v>
      </c>
      <c r="M75" s="266">
        <f t="shared" ref="M75:M76" si="28">L75</f>
        <v>9.8168000000000006</v>
      </c>
      <c r="N75" s="265">
        <f>L75+3.3523000000000001</f>
        <v>13.1691</v>
      </c>
      <c r="O75" s="266">
        <f t="shared" ref="O75:O76" si="29">N75</f>
        <v>13.1691</v>
      </c>
      <c r="P75" s="265">
        <f>N75</f>
        <v>13.1691</v>
      </c>
      <c r="Q75" s="266">
        <f t="shared" ref="Q75:Q76" si="30">P75</f>
        <v>13.1691</v>
      </c>
      <c r="R75" s="265">
        <f t="shared" si="11"/>
        <v>51.764000000000003</v>
      </c>
      <c r="S75" s="266">
        <f t="shared" si="12"/>
        <v>51.764000000000003</v>
      </c>
      <c r="T75" s="259"/>
      <c r="U75" s="197"/>
    </row>
    <row r="76" s="238" customFormat="1" ht="15.75" customHeight="1">
      <c r="A76" s="269" t="s">
        <v>427</v>
      </c>
      <c r="B76" s="270" t="s">
        <v>428</v>
      </c>
      <c r="C76" s="271" t="s">
        <v>354</v>
      </c>
      <c r="D76" s="313"/>
      <c r="E76" s="273">
        <f>1825.3099999999999/1000</f>
        <v>1.82531</v>
      </c>
      <c r="F76" s="274">
        <f>(627.70000000000005+126.59999999999999-841.10000000000002+91.099999999999994+71.900000000000006+172.69999999999999)/1000</f>
        <v>0.24890000000000004</v>
      </c>
      <c r="G76" s="275"/>
      <c r="H76" s="274">
        <f>0.65539999999999998-0.80930000000000002+0.092200000000000004+0.2419</f>
        <v>0.18019999999999997</v>
      </c>
      <c r="I76" s="275">
        <f t="shared" si="26"/>
        <v>0.18019999999999997</v>
      </c>
      <c r="J76" s="274">
        <v>0.66739999999999999</v>
      </c>
      <c r="K76" s="275">
        <f t="shared" si="27"/>
        <v>0.66739999999999999</v>
      </c>
      <c r="L76" s="274">
        <v>0.86260000000000003</v>
      </c>
      <c r="M76" s="275">
        <f t="shared" si="28"/>
        <v>0.86260000000000003</v>
      </c>
      <c r="N76" s="274">
        <f>L76*1.04+0.54200000000000004*1.04</f>
        <v>1.4607840000000001</v>
      </c>
      <c r="O76" s="275">
        <f t="shared" si="29"/>
        <v>1.4607840000000001</v>
      </c>
      <c r="P76" s="274">
        <f>N76*1.04</f>
        <v>1.5192153600000002</v>
      </c>
      <c r="Q76" s="275">
        <f t="shared" si="30"/>
        <v>1.5192153600000002</v>
      </c>
      <c r="R76" s="274">
        <f t="shared" si="11"/>
        <v>4.6901993600000003</v>
      </c>
      <c r="S76" s="275">
        <f t="shared" si="12"/>
        <v>4.6901993600000003</v>
      </c>
      <c r="T76" s="259"/>
      <c r="U76" s="197"/>
    </row>
    <row r="77" s="238" customFormat="1">
      <c r="A77" s="252" t="s">
        <v>429</v>
      </c>
      <c r="B77" s="253" t="s">
        <v>430</v>
      </c>
      <c r="C77" s="254" t="s">
        <v>354</v>
      </c>
      <c r="D77" s="255"/>
      <c r="E77" s="314">
        <f t="shared" ref="E77:Q77" si="31">E78+E79+E80</f>
        <v>0.92528999999999995</v>
      </c>
      <c r="F77" s="315">
        <f t="shared" si="31"/>
        <v>0.2041</v>
      </c>
      <c r="G77" s="279">
        <f t="shared" si="31"/>
        <v>0</v>
      </c>
      <c r="H77" s="315">
        <f t="shared" si="31"/>
        <v>1.5798000000000001</v>
      </c>
      <c r="I77" s="279">
        <f t="shared" si="31"/>
        <v>1.5798000000000001</v>
      </c>
      <c r="J77" s="315">
        <f t="shared" si="31"/>
        <v>1.6414122</v>
      </c>
      <c r="K77" s="279">
        <f t="shared" si="31"/>
        <v>1.6414122</v>
      </c>
      <c r="L77" s="315">
        <f t="shared" si="31"/>
        <v>2.0792999999999999</v>
      </c>
      <c r="M77" s="279">
        <f t="shared" si="31"/>
        <v>2.0792999999999999</v>
      </c>
      <c r="N77" s="315">
        <f t="shared" si="31"/>
        <v>3.9118720000000002</v>
      </c>
      <c r="O77" s="279">
        <f t="shared" si="31"/>
        <v>3.9118720000000002</v>
      </c>
      <c r="P77" s="315">
        <f t="shared" si="31"/>
        <v>4.06834688</v>
      </c>
      <c r="Q77" s="279">
        <f t="shared" si="31"/>
        <v>4.06834688</v>
      </c>
      <c r="R77" s="315">
        <f t="shared" si="11"/>
        <v>13.280731080000001</v>
      </c>
      <c r="S77" s="279">
        <f t="shared" si="12"/>
        <v>13.280731080000001</v>
      </c>
      <c r="T77" s="259"/>
      <c r="U77" s="197"/>
    </row>
    <row r="78" s="238" customFormat="1">
      <c r="A78" s="260" t="s">
        <v>431</v>
      </c>
      <c r="B78" s="261" t="s">
        <v>432</v>
      </c>
      <c r="C78" s="262" t="s">
        <v>354</v>
      </c>
      <c r="D78" s="268"/>
      <c r="E78" s="316">
        <f>925.28999999999996/1000</f>
        <v>0.92528999999999995</v>
      </c>
      <c r="F78" s="317">
        <f>204.09999999999999/1000</f>
        <v>0.2041</v>
      </c>
      <c r="G78" s="266"/>
      <c r="H78" s="317">
        <v>1.5798000000000001</v>
      </c>
      <c r="I78" s="266">
        <f>H78</f>
        <v>1.5798000000000001</v>
      </c>
      <c r="J78" s="317">
        <f>H78*1.0389999999999999</f>
        <v>1.6414122</v>
      </c>
      <c r="K78" s="266">
        <f>J78</f>
        <v>1.6414122</v>
      </c>
      <c r="L78" s="317">
        <v>2.0792999999999999</v>
      </c>
      <c r="M78" s="266">
        <f>L78</f>
        <v>2.0792999999999999</v>
      </c>
      <c r="N78" s="317">
        <f>L78*1.04+1.7494000000000001</f>
        <v>3.9118720000000002</v>
      </c>
      <c r="O78" s="266">
        <f>N78</f>
        <v>3.9118720000000002</v>
      </c>
      <c r="P78" s="317">
        <f>N78*1.04</f>
        <v>4.06834688</v>
      </c>
      <c r="Q78" s="266">
        <f>P78</f>
        <v>4.06834688</v>
      </c>
      <c r="R78" s="317">
        <f t="shared" si="11"/>
        <v>13.280731080000001</v>
      </c>
      <c r="S78" s="266">
        <f t="shared" si="12"/>
        <v>13.280731080000001</v>
      </c>
      <c r="T78" s="259"/>
      <c r="U78" s="197"/>
    </row>
    <row r="79" s="238" customFormat="1">
      <c r="A79" s="260" t="s">
        <v>433</v>
      </c>
      <c r="B79" s="261" t="s">
        <v>434</v>
      </c>
      <c r="C79" s="262" t="s">
        <v>354</v>
      </c>
      <c r="D79" s="263"/>
      <c r="E79" s="318"/>
      <c r="F79" s="319"/>
      <c r="G79" s="266"/>
      <c r="H79" s="319"/>
      <c r="I79" s="266"/>
      <c r="J79" s="319"/>
      <c r="K79" s="266"/>
      <c r="L79" s="319"/>
      <c r="M79" s="266"/>
      <c r="N79" s="319"/>
      <c r="O79" s="266"/>
      <c r="P79" s="319"/>
      <c r="Q79" s="266"/>
      <c r="R79" s="319">
        <f t="shared" si="11"/>
        <v>0</v>
      </c>
      <c r="S79" s="266">
        <f t="shared" si="12"/>
        <v>0</v>
      </c>
      <c r="T79" s="259"/>
      <c r="U79" s="197"/>
    </row>
    <row r="80" s="238" customFormat="1">
      <c r="A80" s="269" t="s">
        <v>435</v>
      </c>
      <c r="B80" s="270" t="s">
        <v>436</v>
      </c>
      <c r="C80" s="271" t="s">
        <v>354</v>
      </c>
      <c r="D80" s="313"/>
      <c r="E80" s="320"/>
      <c r="F80" s="321">
        <v>0</v>
      </c>
      <c r="G80" s="275"/>
      <c r="H80" s="321">
        <f>F80*1.04</f>
        <v>0</v>
      </c>
      <c r="I80" s="275"/>
      <c r="J80" s="321">
        <f>H80*1.04</f>
        <v>0</v>
      </c>
      <c r="K80" s="275"/>
      <c r="L80" s="321">
        <f>J80*1.04</f>
        <v>0</v>
      </c>
      <c r="M80" s="275"/>
      <c r="N80" s="321">
        <f>L80*1.04</f>
        <v>0</v>
      </c>
      <c r="O80" s="275"/>
      <c r="P80" s="321">
        <f>N80*1.04</f>
        <v>0</v>
      </c>
      <c r="Q80" s="275"/>
      <c r="R80" s="321">
        <f t="shared" si="11"/>
        <v>0</v>
      </c>
      <c r="S80" s="275">
        <f t="shared" si="12"/>
        <v>0</v>
      </c>
      <c r="T80" s="259"/>
      <c r="U80" s="197"/>
    </row>
    <row r="81" s="238" customFormat="1">
      <c r="A81" s="252" t="s">
        <v>437</v>
      </c>
      <c r="B81" s="253" t="s">
        <v>438</v>
      </c>
      <c r="C81" s="254" t="s">
        <v>354</v>
      </c>
      <c r="D81" s="255"/>
      <c r="E81" s="322">
        <f t="shared" ref="E81:E95" si="32">E23-E38</f>
        <v>-3.0730000000000004</v>
      </c>
      <c r="F81" s="323">
        <f t="shared" ref="F81:I95" si="33">F23-F38</f>
        <v>0</v>
      </c>
      <c r="G81" s="258">
        <f t="shared" ref="G81:Q81" si="34">G23-G38</f>
        <v>0</v>
      </c>
      <c r="H81" s="323">
        <f>H23-H38</f>
        <v>0.41700000000000159</v>
      </c>
      <c r="I81" s="258">
        <f t="shared" si="34"/>
        <v>0.41700000000000159</v>
      </c>
      <c r="J81" s="323">
        <f t="shared" si="34"/>
        <v>0.39699999999999847</v>
      </c>
      <c r="K81" s="258">
        <f>K23-K38</f>
        <v>0.39699999999999847</v>
      </c>
      <c r="L81" s="323">
        <f t="shared" si="34"/>
        <v>0.97769999999999513</v>
      </c>
      <c r="M81" s="258">
        <f t="shared" si="34"/>
        <v>0.97769999999999513</v>
      </c>
      <c r="N81" s="323">
        <f t="shared" si="34"/>
        <v>1.6822335999999893</v>
      </c>
      <c r="O81" s="258">
        <f t="shared" si="34"/>
        <v>1.6822335999999893</v>
      </c>
      <c r="P81" s="323">
        <f t="shared" si="34"/>
        <v>0.6132053439999865</v>
      </c>
      <c r="Q81" s="258">
        <f t="shared" si="34"/>
        <v>0.6132053439999865</v>
      </c>
      <c r="R81" s="323">
        <f t="shared" si="11"/>
        <v>4.087138943999971</v>
      </c>
      <c r="S81" s="258">
        <f t="shared" si="12"/>
        <v>4.087138943999971</v>
      </c>
      <c r="T81" s="259"/>
      <c r="U81" s="197"/>
    </row>
    <row r="82" s="238" customFormat="1">
      <c r="A82" s="282" t="s">
        <v>439</v>
      </c>
      <c r="B82" s="283" t="s">
        <v>355</v>
      </c>
      <c r="C82" s="284" t="s">
        <v>354</v>
      </c>
      <c r="D82" s="324"/>
      <c r="E82" s="325">
        <f t="shared" si="32"/>
        <v>0</v>
      </c>
      <c r="F82" s="326">
        <f t="shared" si="33"/>
        <v>0</v>
      </c>
      <c r="G82" s="327">
        <f t="shared" si="33"/>
        <v>0</v>
      </c>
      <c r="H82" s="326">
        <f t="shared" si="33"/>
        <v>0</v>
      </c>
      <c r="I82" s="327">
        <f t="shared" si="33"/>
        <v>0</v>
      </c>
      <c r="J82" s="326">
        <f t="shared" ref="J82:K95" si="35">J24-J39</f>
        <v>0</v>
      </c>
      <c r="K82" s="327">
        <f t="shared" si="35"/>
        <v>0</v>
      </c>
      <c r="L82" s="326">
        <f t="shared" ref="L82:Q95" si="36">L24-L39</f>
        <v>0</v>
      </c>
      <c r="M82" s="327">
        <f t="shared" si="36"/>
        <v>0</v>
      </c>
      <c r="N82" s="326">
        <f t="shared" si="36"/>
        <v>0</v>
      </c>
      <c r="O82" s="327">
        <f t="shared" si="36"/>
        <v>0</v>
      </c>
      <c r="P82" s="326">
        <f t="shared" si="36"/>
        <v>0</v>
      </c>
      <c r="Q82" s="327">
        <f t="shared" si="36"/>
        <v>0</v>
      </c>
      <c r="R82" s="326">
        <f t="shared" si="11"/>
        <v>0</v>
      </c>
      <c r="S82" s="327">
        <f t="shared" si="12"/>
        <v>0</v>
      </c>
      <c r="T82" s="259"/>
      <c r="U82" s="197"/>
    </row>
    <row r="83" s="238" customFormat="1">
      <c r="A83" s="282" t="s">
        <v>440</v>
      </c>
      <c r="B83" s="288" t="s">
        <v>356</v>
      </c>
      <c r="C83" s="284" t="s">
        <v>354</v>
      </c>
      <c r="D83" s="324"/>
      <c r="E83" s="325">
        <f t="shared" si="32"/>
        <v>0</v>
      </c>
      <c r="F83" s="326">
        <f t="shared" si="33"/>
        <v>0</v>
      </c>
      <c r="G83" s="327">
        <f t="shared" si="33"/>
        <v>0</v>
      </c>
      <c r="H83" s="326">
        <f t="shared" si="33"/>
        <v>0</v>
      </c>
      <c r="I83" s="327">
        <f t="shared" si="33"/>
        <v>0</v>
      </c>
      <c r="J83" s="326">
        <f t="shared" si="35"/>
        <v>0</v>
      </c>
      <c r="K83" s="327">
        <f t="shared" si="35"/>
        <v>0</v>
      </c>
      <c r="L83" s="326">
        <f t="shared" si="36"/>
        <v>0</v>
      </c>
      <c r="M83" s="327">
        <f t="shared" si="36"/>
        <v>0</v>
      </c>
      <c r="N83" s="326">
        <f t="shared" si="36"/>
        <v>0</v>
      </c>
      <c r="O83" s="327">
        <f t="shared" si="36"/>
        <v>0</v>
      </c>
      <c r="P83" s="326">
        <f t="shared" si="36"/>
        <v>0</v>
      </c>
      <c r="Q83" s="327">
        <f t="shared" si="36"/>
        <v>0</v>
      </c>
      <c r="R83" s="326">
        <f t="shared" si="11"/>
        <v>0</v>
      </c>
      <c r="S83" s="327">
        <f t="shared" si="12"/>
        <v>0</v>
      </c>
      <c r="T83" s="259"/>
      <c r="U83" s="197"/>
    </row>
    <row r="84" s="238" customFormat="1">
      <c r="A84" s="282" t="s">
        <v>441</v>
      </c>
      <c r="B84" s="288" t="s">
        <v>357</v>
      </c>
      <c r="C84" s="284" t="s">
        <v>354</v>
      </c>
      <c r="D84" s="324"/>
      <c r="E84" s="325">
        <f t="shared" si="32"/>
        <v>0</v>
      </c>
      <c r="F84" s="326">
        <f t="shared" si="33"/>
        <v>0</v>
      </c>
      <c r="G84" s="327">
        <f t="shared" si="33"/>
        <v>0</v>
      </c>
      <c r="H84" s="326">
        <f t="shared" si="33"/>
        <v>0</v>
      </c>
      <c r="I84" s="327">
        <f t="shared" si="33"/>
        <v>0</v>
      </c>
      <c r="J84" s="326">
        <f t="shared" si="35"/>
        <v>0</v>
      </c>
      <c r="K84" s="327">
        <f t="shared" si="35"/>
        <v>0</v>
      </c>
      <c r="L84" s="326">
        <f t="shared" si="36"/>
        <v>0</v>
      </c>
      <c r="M84" s="327">
        <f t="shared" si="36"/>
        <v>0</v>
      </c>
      <c r="N84" s="326">
        <f t="shared" si="36"/>
        <v>0</v>
      </c>
      <c r="O84" s="327">
        <f t="shared" si="36"/>
        <v>0</v>
      </c>
      <c r="P84" s="326">
        <f t="shared" si="36"/>
        <v>0</v>
      </c>
      <c r="Q84" s="327">
        <f t="shared" si="36"/>
        <v>0</v>
      </c>
      <c r="R84" s="326">
        <f t="shared" si="11"/>
        <v>0</v>
      </c>
      <c r="S84" s="327">
        <f t="shared" si="12"/>
        <v>0</v>
      </c>
      <c r="T84" s="259"/>
      <c r="U84" s="197"/>
    </row>
    <row r="85" s="238" customFormat="1">
      <c r="A85" s="282" t="s">
        <v>442</v>
      </c>
      <c r="B85" s="288" t="s">
        <v>358</v>
      </c>
      <c r="C85" s="284" t="s">
        <v>354</v>
      </c>
      <c r="D85" s="324"/>
      <c r="E85" s="325">
        <f t="shared" si="32"/>
        <v>0</v>
      </c>
      <c r="F85" s="326">
        <f t="shared" si="33"/>
        <v>0</v>
      </c>
      <c r="G85" s="327">
        <f t="shared" si="33"/>
        <v>0</v>
      </c>
      <c r="H85" s="326">
        <f t="shared" si="33"/>
        <v>0</v>
      </c>
      <c r="I85" s="327">
        <f t="shared" si="33"/>
        <v>0</v>
      </c>
      <c r="J85" s="326">
        <f t="shared" si="35"/>
        <v>0</v>
      </c>
      <c r="K85" s="327">
        <f t="shared" si="35"/>
        <v>0</v>
      </c>
      <c r="L85" s="326">
        <f t="shared" si="36"/>
        <v>0</v>
      </c>
      <c r="M85" s="327">
        <f t="shared" si="36"/>
        <v>0</v>
      </c>
      <c r="N85" s="326">
        <f t="shared" si="36"/>
        <v>0</v>
      </c>
      <c r="O85" s="327">
        <f t="shared" si="36"/>
        <v>0</v>
      </c>
      <c r="P85" s="326">
        <f t="shared" si="36"/>
        <v>0</v>
      </c>
      <c r="Q85" s="327">
        <f t="shared" si="36"/>
        <v>0</v>
      </c>
      <c r="R85" s="326">
        <f t="shared" si="11"/>
        <v>0</v>
      </c>
      <c r="S85" s="327">
        <f t="shared" si="12"/>
        <v>0</v>
      </c>
      <c r="T85" s="259"/>
      <c r="U85" s="197"/>
    </row>
    <row r="86" s="238" customFormat="1">
      <c r="A86" s="282" t="s">
        <v>443</v>
      </c>
      <c r="B86" s="283" t="s">
        <v>359</v>
      </c>
      <c r="C86" s="284" t="s">
        <v>354</v>
      </c>
      <c r="D86" s="324"/>
      <c r="E86" s="325">
        <f t="shared" si="32"/>
        <v>0</v>
      </c>
      <c r="F86" s="326">
        <f t="shared" si="33"/>
        <v>0</v>
      </c>
      <c r="G86" s="327">
        <f t="shared" si="33"/>
        <v>0</v>
      </c>
      <c r="H86" s="326">
        <f t="shared" si="33"/>
        <v>0</v>
      </c>
      <c r="I86" s="327">
        <f t="shared" si="33"/>
        <v>0</v>
      </c>
      <c r="J86" s="326">
        <f t="shared" si="35"/>
        <v>0</v>
      </c>
      <c r="K86" s="327">
        <f t="shared" si="35"/>
        <v>0</v>
      </c>
      <c r="L86" s="326">
        <f t="shared" si="36"/>
        <v>0</v>
      </c>
      <c r="M86" s="327">
        <f t="shared" si="36"/>
        <v>0</v>
      </c>
      <c r="N86" s="326">
        <f t="shared" si="36"/>
        <v>0</v>
      </c>
      <c r="O86" s="327">
        <f t="shared" si="36"/>
        <v>0</v>
      </c>
      <c r="P86" s="326">
        <f t="shared" si="36"/>
        <v>0</v>
      </c>
      <c r="Q86" s="327">
        <f t="shared" si="36"/>
        <v>0</v>
      </c>
      <c r="R86" s="326">
        <f t="shared" si="11"/>
        <v>0</v>
      </c>
      <c r="S86" s="327">
        <f t="shared" si="12"/>
        <v>0</v>
      </c>
      <c r="T86" s="259"/>
      <c r="U86" s="197"/>
    </row>
    <row r="87" s="238" customFormat="1">
      <c r="A87" s="282" t="s">
        <v>444</v>
      </c>
      <c r="B87" s="283" t="s">
        <v>360</v>
      </c>
      <c r="C87" s="284" t="s">
        <v>354</v>
      </c>
      <c r="D87" s="276"/>
      <c r="E87" s="325">
        <f t="shared" si="32"/>
        <v>-3.2480000000000011</v>
      </c>
      <c r="F87" s="326">
        <f t="shared" si="33"/>
        <v>0</v>
      </c>
      <c r="G87" s="327">
        <f t="shared" si="33"/>
        <v>0</v>
      </c>
      <c r="H87" s="326">
        <f t="shared" si="33"/>
        <v>0.41700000000000159</v>
      </c>
      <c r="I87" s="327">
        <f t="shared" si="33"/>
        <v>0.41700000000000159</v>
      </c>
      <c r="J87" s="326">
        <f t="shared" si="35"/>
        <v>0.39699999999999847</v>
      </c>
      <c r="K87" s="327">
        <f t="shared" si="35"/>
        <v>0.39699999999999847</v>
      </c>
      <c r="L87" s="326">
        <f t="shared" si="36"/>
        <v>0.97769999999999513</v>
      </c>
      <c r="M87" s="327">
        <f t="shared" si="36"/>
        <v>0.97769999999999513</v>
      </c>
      <c r="N87" s="326">
        <f t="shared" si="36"/>
        <v>1.6822335999999893</v>
      </c>
      <c r="O87" s="327">
        <f t="shared" si="36"/>
        <v>1.6822335999999893</v>
      </c>
      <c r="P87" s="326">
        <f t="shared" si="36"/>
        <v>0.6132053439999865</v>
      </c>
      <c r="Q87" s="327">
        <f t="shared" si="36"/>
        <v>0.6132053439999865</v>
      </c>
      <c r="R87" s="326">
        <f t="shared" ref="R87:R150" si="37">H87+J87+L87+N87+P87</f>
        <v>4.087138943999971</v>
      </c>
      <c r="S87" s="327">
        <f t="shared" ref="S87:S150" si="38">I87+K87+M87+O87+Q87</f>
        <v>4.087138943999971</v>
      </c>
      <c r="T87" s="259"/>
      <c r="U87" s="197"/>
    </row>
    <row r="88" s="238" customFormat="1">
      <c r="A88" s="282" t="s">
        <v>445</v>
      </c>
      <c r="B88" s="283" t="s">
        <v>361</v>
      </c>
      <c r="C88" s="284" t="s">
        <v>354</v>
      </c>
      <c r="D88" s="324"/>
      <c r="E88" s="325">
        <f t="shared" si="32"/>
        <v>0</v>
      </c>
      <c r="F88" s="326">
        <f t="shared" si="33"/>
        <v>0</v>
      </c>
      <c r="G88" s="327">
        <f t="shared" si="33"/>
        <v>0</v>
      </c>
      <c r="H88" s="326">
        <f t="shared" si="33"/>
        <v>0</v>
      </c>
      <c r="I88" s="327">
        <f t="shared" si="33"/>
        <v>0</v>
      </c>
      <c r="J88" s="326">
        <f t="shared" si="35"/>
        <v>0</v>
      </c>
      <c r="K88" s="327">
        <f t="shared" si="35"/>
        <v>0</v>
      </c>
      <c r="L88" s="326">
        <f t="shared" si="36"/>
        <v>0</v>
      </c>
      <c r="M88" s="327">
        <f t="shared" si="36"/>
        <v>0</v>
      </c>
      <c r="N88" s="326">
        <f t="shared" si="36"/>
        <v>0</v>
      </c>
      <c r="O88" s="327">
        <f t="shared" si="36"/>
        <v>0</v>
      </c>
      <c r="P88" s="326">
        <f t="shared" si="36"/>
        <v>0</v>
      </c>
      <c r="Q88" s="327">
        <f t="shared" si="36"/>
        <v>0</v>
      </c>
      <c r="R88" s="326">
        <f t="shared" si="37"/>
        <v>0</v>
      </c>
      <c r="S88" s="327">
        <f t="shared" si="38"/>
        <v>0</v>
      </c>
      <c r="T88" s="259"/>
      <c r="U88" s="197"/>
    </row>
    <row r="89" s="238" customFormat="1">
      <c r="A89" s="282" t="s">
        <v>446</v>
      </c>
      <c r="B89" s="283" t="s">
        <v>362</v>
      </c>
      <c r="C89" s="284" t="s">
        <v>354</v>
      </c>
      <c r="D89" s="328"/>
      <c r="E89" s="325">
        <f t="shared" si="32"/>
        <v>0.22600000000000001</v>
      </c>
      <c r="F89" s="326">
        <f t="shared" si="33"/>
        <v>0</v>
      </c>
      <c r="G89" s="327">
        <f t="shared" si="33"/>
        <v>0</v>
      </c>
      <c r="H89" s="326">
        <f t="shared" si="33"/>
        <v>0</v>
      </c>
      <c r="I89" s="327">
        <f t="shared" si="33"/>
        <v>0</v>
      </c>
      <c r="J89" s="326">
        <f t="shared" si="35"/>
        <v>0</v>
      </c>
      <c r="K89" s="327">
        <f t="shared" si="35"/>
        <v>0</v>
      </c>
      <c r="L89" s="326">
        <f t="shared" si="36"/>
        <v>0</v>
      </c>
      <c r="M89" s="327">
        <f t="shared" si="36"/>
        <v>0</v>
      </c>
      <c r="N89" s="326">
        <f t="shared" si="36"/>
        <v>0</v>
      </c>
      <c r="O89" s="327">
        <f t="shared" si="36"/>
        <v>0</v>
      </c>
      <c r="P89" s="326">
        <f t="shared" si="36"/>
        <v>0</v>
      </c>
      <c r="Q89" s="327">
        <f t="shared" si="36"/>
        <v>0</v>
      </c>
      <c r="R89" s="326">
        <f t="shared" si="37"/>
        <v>0</v>
      </c>
      <c r="S89" s="327">
        <f t="shared" si="38"/>
        <v>0</v>
      </c>
      <c r="T89" s="259"/>
      <c r="U89" s="197"/>
    </row>
    <row r="90" s="238" customFormat="1">
      <c r="A90" s="282" t="s">
        <v>447</v>
      </c>
      <c r="B90" s="283" t="s">
        <v>364</v>
      </c>
      <c r="C90" s="284" t="s">
        <v>354</v>
      </c>
      <c r="D90" s="324"/>
      <c r="E90" s="325">
        <f t="shared" si="32"/>
        <v>0</v>
      </c>
      <c r="F90" s="326">
        <f t="shared" si="33"/>
        <v>0</v>
      </c>
      <c r="G90" s="327">
        <f t="shared" si="33"/>
        <v>0</v>
      </c>
      <c r="H90" s="326">
        <f t="shared" si="33"/>
        <v>0</v>
      </c>
      <c r="I90" s="327">
        <f t="shared" si="33"/>
        <v>0</v>
      </c>
      <c r="J90" s="326">
        <f t="shared" si="35"/>
        <v>0</v>
      </c>
      <c r="K90" s="327">
        <f t="shared" si="35"/>
        <v>0</v>
      </c>
      <c r="L90" s="326">
        <f t="shared" si="36"/>
        <v>0</v>
      </c>
      <c r="M90" s="327">
        <f t="shared" si="36"/>
        <v>0</v>
      </c>
      <c r="N90" s="326">
        <f t="shared" si="36"/>
        <v>0</v>
      </c>
      <c r="O90" s="327">
        <f t="shared" si="36"/>
        <v>0</v>
      </c>
      <c r="P90" s="326">
        <f t="shared" si="36"/>
        <v>0</v>
      </c>
      <c r="Q90" s="327">
        <f t="shared" si="36"/>
        <v>0</v>
      </c>
      <c r="R90" s="326">
        <f t="shared" si="37"/>
        <v>0</v>
      </c>
      <c r="S90" s="327">
        <f t="shared" si="38"/>
        <v>0</v>
      </c>
      <c r="T90" s="259"/>
      <c r="U90" s="197"/>
    </row>
    <row r="91" s="238" customFormat="1">
      <c r="A91" s="282" t="s">
        <v>448</v>
      </c>
      <c r="B91" s="283" t="s">
        <v>366</v>
      </c>
      <c r="C91" s="284" t="s">
        <v>354</v>
      </c>
      <c r="D91" s="324"/>
      <c r="E91" s="325">
        <f t="shared" si="32"/>
        <v>0</v>
      </c>
      <c r="F91" s="326">
        <f t="shared" si="33"/>
        <v>0</v>
      </c>
      <c r="G91" s="327">
        <f t="shared" si="33"/>
        <v>0</v>
      </c>
      <c r="H91" s="326">
        <f t="shared" si="33"/>
        <v>0</v>
      </c>
      <c r="I91" s="327">
        <f t="shared" si="33"/>
        <v>0</v>
      </c>
      <c r="J91" s="326">
        <f t="shared" si="35"/>
        <v>0</v>
      </c>
      <c r="K91" s="327">
        <f t="shared" si="35"/>
        <v>0</v>
      </c>
      <c r="L91" s="326">
        <f t="shared" si="36"/>
        <v>0</v>
      </c>
      <c r="M91" s="327">
        <f t="shared" si="36"/>
        <v>0</v>
      </c>
      <c r="N91" s="326">
        <f t="shared" si="36"/>
        <v>0</v>
      </c>
      <c r="O91" s="327">
        <f t="shared" si="36"/>
        <v>0</v>
      </c>
      <c r="P91" s="326">
        <f t="shared" si="36"/>
        <v>0</v>
      </c>
      <c r="Q91" s="327">
        <f t="shared" si="36"/>
        <v>0</v>
      </c>
      <c r="R91" s="326">
        <f t="shared" si="37"/>
        <v>0</v>
      </c>
      <c r="S91" s="327">
        <f t="shared" si="38"/>
        <v>0</v>
      </c>
      <c r="T91" s="259"/>
      <c r="U91" s="197"/>
    </row>
    <row r="92" s="238" customFormat="1">
      <c r="A92" s="282" t="s">
        <v>449</v>
      </c>
      <c r="B92" s="288" t="s">
        <v>368</v>
      </c>
      <c r="C92" s="284" t="s">
        <v>354</v>
      </c>
      <c r="D92" s="324"/>
      <c r="E92" s="325">
        <f t="shared" si="32"/>
        <v>0</v>
      </c>
      <c r="F92" s="326">
        <f t="shared" si="33"/>
        <v>0</v>
      </c>
      <c r="G92" s="327">
        <f t="shared" si="33"/>
        <v>0</v>
      </c>
      <c r="H92" s="326">
        <f t="shared" si="33"/>
        <v>0</v>
      </c>
      <c r="I92" s="327">
        <f t="shared" si="33"/>
        <v>0</v>
      </c>
      <c r="J92" s="326">
        <f t="shared" si="35"/>
        <v>0</v>
      </c>
      <c r="K92" s="327">
        <f t="shared" si="35"/>
        <v>0</v>
      </c>
      <c r="L92" s="326">
        <f t="shared" si="36"/>
        <v>0</v>
      </c>
      <c r="M92" s="327">
        <f t="shared" si="36"/>
        <v>0</v>
      </c>
      <c r="N92" s="326">
        <f t="shared" si="36"/>
        <v>0</v>
      </c>
      <c r="O92" s="327">
        <f t="shared" si="36"/>
        <v>0</v>
      </c>
      <c r="P92" s="326">
        <f t="shared" si="36"/>
        <v>0</v>
      </c>
      <c r="Q92" s="327">
        <f t="shared" si="36"/>
        <v>0</v>
      </c>
      <c r="R92" s="326">
        <f t="shared" si="37"/>
        <v>0</v>
      </c>
      <c r="S92" s="327">
        <f t="shared" si="38"/>
        <v>0</v>
      </c>
      <c r="T92" s="259"/>
      <c r="U92" s="197"/>
    </row>
    <row r="93" s="238" customFormat="1">
      <c r="A93" s="282" t="s">
        <v>450</v>
      </c>
      <c r="B93" s="288" t="s">
        <v>370</v>
      </c>
      <c r="C93" s="284" t="s">
        <v>354</v>
      </c>
      <c r="D93" s="324"/>
      <c r="E93" s="325">
        <f t="shared" si="32"/>
        <v>0</v>
      </c>
      <c r="F93" s="326">
        <f t="shared" si="33"/>
        <v>0</v>
      </c>
      <c r="G93" s="327">
        <f t="shared" si="33"/>
        <v>0</v>
      </c>
      <c r="H93" s="326">
        <f t="shared" si="33"/>
        <v>0</v>
      </c>
      <c r="I93" s="327">
        <f t="shared" si="33"/>
        <v>0</v>
      </c>
      <c r="J93" s="326">
        <f t="shared" si="35"/>
        <v>0</v>
      </c>
      <c r="K93" s="327">
        <f t="shared" si="35"/>
        <v>0</v>
      </c>
      <c r="L93" s="326">
        <f t="shared" si="36"/>
        <v>0</v>
      </c>
      <c r="M93" s="327">
        <f t="shared" si="36"/>
        <v>0</v>
      </c>
      <c r="N93" s="326">
        <f t="shared" si="36"/>
        <v>0</v>
      </c>
      <c r="O93" s="327">
        <f t="shared" si="36"/>
        <v>0</v>
      </c>
      <c r="P93" s="326">
        <f t="shared" si="36"/>
        <v>0</v>
      </c>
      <c r="Q93" s="327">
        <f t="shared" si="36"/>
        <v>0</v>
      </c>
      <c r="R93" s="326">
        <f t="shared" si="37"/>
        <v>0</v>
      </c>
      <c r="S93" s="327">
        <f t="shared" si="38"/>
        <v>0</v>
      </c>
      <c r="T93" s="259"/>
      <c r="U93" s="197"/>
    </row>
    <row r="94" s="238" customFormat="1">
      <c r="A94" s="282" t="s">
        <v>451</v>
      </c>
      <c r="B94" s="283" t="s">
        <v>372</v>
      </c>
      <c r="C94" s="284" t="s">
        <v>354</v>
      </c>
      <c r="D94" s="324"/>
      <c r="E94" s="325">
        <f t="shared" si="32"/>
        <v>0</v>
      </c>
      <c r="F94" s="326">
        <f t="shared" si="33"/>
        <v>0</v>
      </c>
      <c r="G94" s="327">
        <f t="shared" si="33"/>
        <v>0</v>
      </c>
      <c r="H94" s="326">
        <f t="shared" si="33"/>
        <v>0</v>
      </c>
      <c r="I94" s="327">
        <f t="shared" si="33"/>
        <v>0</v>
      </c>
      <c r="J94" s="326">
        <f t="shared" si="35"/>
        <v>0</v>
      </c>
      <c r="K94" s="327">
        <f t="shared" si="35"/>
        <v>0</v>
      </c>
      <c r="L94" s="326">
        <f t="shared" si="36"/>
        <v>0</v>
      </c>
      <c r="M94" s="327">
        <f t="shared" si="36"/>
        <v>0</v>
      </c>
      <c r="N94" s="326">
        <f t="shared" si="36"/>
        <v>0</v>
      </c>
      <c r="O94" s="327">
        <f t="shared" si="36"/>
        <v>0</v>
      </c>
      <c r="P94" s="326">
        <f t="shared" si="36"/>
        <v>0</v>
      </c>
      <c r="Q94" s="327">
        <f t="shared" si="36"/>
        <v>0</v>
      </c>
      <c r="R94" s="326">
        <f t="shared" si="37"/>
        <v>0</v>
      </c>
      <c r="S94" s="327">
        <f t="shared" si="38"/>
        <v>0</v>
      </c>
      <c r="T94" s="259"/>
      <c r="U94" s="197"/>
    </row>
    <row r="95" s="238" customFormat="1">
      <c r="A95" s="329" t="s">
        <v>452</v>
      </c>
      <c r="B95" s="330" t="s">
        <v>374</v>
      </c>
      <c r="C95" s="331" t="s">
        <v>354</v>
      </c>
      <c r="D95" s="324"/>
      <c r="E95" s="332">
        <f t="shared" si="32"/>
        <v>-0.050999999999999934</v>
      </c>
      <c r="F95" s="333">
        <f t="shared" si="33"/>
        <v>0</v>
      </c>
      <c r="G95" s="334">
        <f t="shared" si="33"/>
        <v>0</v>
      </c>
      <c r="H95" s="333">
        <f t="shared" si="33"/>
        <v>0</v>
      </c>
      <c r="I95" s="334">
        <f t="shared" si="33"/>
        <v>0</v>
      </c>
      <c r="J95" s="333">
        <f t="shared" si="35"/>
        <v>0</v>
      </c>
      <c r="K95" s="334">
        <f t="shared" si="35"/>
        <v>0</v>
      </c>
      <c r="L95" s="333">
        <f t="shared" si="36"/>
        <v>0</v>
      </c>
      <c r="M95" s="334">
        <f t="shared" si="36"/>
        <v>0</v>
      </c>
      <c r="N95" s="333">
        <f t="shared" si="36"/>
        <v>0</v>
      </c>
      <c r="O95" s="334">
        <f t="shared" si="36"/>
        <v>0</v>
      </c>
      <c r="P95" s="333">
        <f t="shared" si="36"/>
        <v>0</v>
      </c>
      <c r="Q95" s="334">
        <f t="shared" si="36"/>
        <v>0</v>
      </c>
      <c r="R95" s="333">
        <f t="shared" si="37"/>
        <v>0</v>
      </c>
      <c r="S95" s="334">
        <f t="shared" si="38"/>
        <v>0</v>
      </c>
      <c r="T95" s="259"/>
      <c r="U95" s="197"/>
    </row>
    <row r="96" s="238" customFormat="1">
      <c r="A96" s="252" t="s">
        <v>453</v>
      </c>
      <c r="B96" s="253" t="s">
        <v>454</v>
      </c>
      <c r="C96" s="254" t="s">
        <v>354</v>
      </c>
      <c r="D96" s="281"/>
      <c r="E96" s="322">
        <f>E97-E103</f>
        <v>-0.085000000000000006</v>
      </c>
      <c r="F96" s="323">
        <f>F97-F103</f>
        <v>0</v>
      </c>
      <c r="G96" s="279">
        <f>G97-G103</f>
        <v>0</v>
      </c>
      <c r="H96" s="323">
        <f>H97-H103</f>
        <v>0</v>
      </c>
      <c r="I96" s="279">
        <f>I97-I103</f>
        <v>0</v>
      </c>
      <c r="J96" s="323">
        <f t="shared" ref="J96:Q96" si="39">J97-J103</f>
        <v>0</v>
      </c>
      <c r="K96" s="279">
        <f t="shared" si="39"/>
        <v>0</v>
      </c>
      <c r="L96" s="323">
        <f t="shared" si="39"/>
        <v>0</v>
      </c>
      <c r="M96" s="279">
        <f t="shared" si="39"/>
        <v>0</v>
      </c>
      <c r="N96" s="323">
        <f t="shared" si="39"/>
        <v>0</v>
      </c>
      <c r="O96" s="279">
        <f t="shared" si="39"/>
        <v>0</v>
      </c>
      <c r="P96" s="323">
        <f t="shared" si="39"/>
        <v>0</v>
      </c>
      <c r="Q96" s="279">
        <f t="shared" si="39"/>
        <v>0</v>
      </c>
      <c r="R96" s="323">
        <f t="shared" si="37"/>
        <v>0</v>
      </c>
      <c r="S96" s="279">
        <f t="shared" si="38"/>
        <v>0</v>
      </c>
      <c r="T96" s="259"/>
      <c r="U96" s="197"/>
    </row>
    <row r="97" s="238" customFormat="1">
      <c r="A97" s="282" t="s">
        <v>455</v>
      </c>
      <c r="B97" s="288" t="s">
        <v>456</v>
      </c>
      <c r="C97" s="284" t="s">
        <v>354</v>
      </c>
      <c r="D97" s="281"/>
      <c r="E97" s="325">
        <f t="shared" ref="E97:Q97" si="40">E98+E99+E100+E102</f>
        <v>0</v>
      </c>
      <c r="F97" s="326">
        <f t="shared" si="40"/>
        <v>0</v>
      </c>
      <c r="G97" s="287">
        <f t="shared" si="40"/>
        <v>0</v>
      </c>
      <c r="H97" s="326">
        <f t="shared" si="40"/>
        <v>0</v>
      </c>
      <c r="I97" s="287">
        <f t="shared" si="40"/>
        <v>0</v>
      </c>
      <c r="J97" s="326">
        <f t="shared" si="40"/>
        <v>0</v>
      </c>
      <c r="K97" s="287">
        <f t="shared" si="40"/>
        <v>0</v>
      </c>
      <c r="L97" s="326">
        <f t="shared" si="40"/>
        <v>0</v>
      </c>
      <c r="M97" s="287">
        <f t="shared" si="40"/>
        <v>0</v>
      </c>
      <c r="N97" s="326">
        <f t="shared" si="40"/>
        <v>0</v>
      </c>
      <c r="O97" s="287">
        <f t="shared" si="40"/>
        <v>0</v>
      </c>
      <c r="P97" s="326">
        <f t="shared" si="40"/>
        <v>0</v>
      </c>
      <c r="Q97" s="287">
        <f t="shared" si="40"/>
        <v>0</v>
      </c>
      <c r="R97" s="326">
        <f t="shared" si="37"/>
        <v>0</v>
      </c>
      <c r="S97" s="287">
        <f t="shared" si="38"/>
        <v>0</v>
      </c>
      <c r="T97" s="259"/>
      <c r="U97" s="197"/>
    </row>
    <row r="98" s="238" customFormat="1">
      <c r="A98" s="260" t="s">
        <v>457</v>
      </c>
      <c r="B98" s="267" t="s">
        <v>458</v>
      </c>
      <c r="C98" s="262" t="s">
        <v>354</v>
      </c>
      <c r="D98" s="263"/>
      <c r="E98" s="318"/>
      <c r="F98" s="319"/>
      <c r="G98" s="266"/>
      <c r="H98" s="319"/>
      <c r="I98" s="266"/>
      <c r="J98" s="319"/>
      <c r="K98" s="266"/>
      <c r="L98" s="319"/>
      <c r="M98" s="266"/>
      <c r="N98" s="319"/>
      <c r="O98" s="266"/>
      <c r="P98" s="319"/>
      <c r="Q98" s="266"/>
      <c r="R98" s="319">
        <f t="shared" si="37"/>
        <v>0</v>
      </c>
      <c r="S98" s="266">
        <f t="shared" si="38"/>
        <v>0</v>
      </c>
      <c r="T98" s="259"/>
      <c r="U98" s="197"/>
    </row>
    <row r="99" s="238" customFormat="1">
      <c r="A99" s="260" t="s">
        <v>459</v>
      </c>
      <c r="B99" s="267" t="s">
        <v>460</v>
      </c>
      <c r="C99" s="262" t="s">
        <v>354</v>
      </c>
      <c r="D99" s="263"/>
      <c r="E99" s="318"/>
      <c r="F99" s="319"/>
      <c r="G99" s="266"/>
      <c r="H99" s="319"/>
      <c r="I99" s="266"/>
      <c r="J99" s="319"/>
      <c r="K99" s="266"/>
      <c r="L99" s="319"/>
      <c r="M99" s="266"/>
      <c r="N99" s="319"/>
      <c r="O99" s="266"/>
      <c r="P99" s="319"/>
      <c r="Q99" s="266"/>
      <c r="R99" s="319">
        <f t="shared" si="37"/>
        <v>0</v>
      </c>
      <c r="S99" s="266">
        <f t="shared" si="38"/>
        <v>0</v>
      </c>
      <c r="T99" s="259"/>
      <c r="U99" s="197"/>
    </row>
    <row r="100" s="238" customFormat="1">
      <c r="A100" s="282" t="s">
        <v>461</v>
      </c>
      <c r="B100" s="288" t="s">
        <v>462</v>
      </c>
      <c r="C100" s="284" t="s">
        <v>354</v>
      </c>
      <c r="D100" s="324"/>
      <c r="E100" s="325">
        <f t="shared" ref="E100:Q100" si="41">E101</f>
        <v>0</v>
      </c>
      <c r="F100" s="326">
        <f t="shared" si="41"/>
        <v>0</v>
      </c>
      <c r="G100" s="287">
        <f t="shared" si="41"/>
        <v>0</v>
      </c>
      <c r="H100" s="326">
        <f t="shared" si="41"/>
        <v>0</v>
      </c>
      <c r="I100" s="287">
        <f t="shared" si="41"/>
        <v>0</v>
      </c>
      <c r="J100" s="326">
        <f t="shared" si="41"/>
        <v>0</v>
      </c>
      <c r="K100" s="287">
        <f t="shared" si="41"/>
        <v>0</v>
      </c>
      <c r="L100" s="326">
        <f t="shared" si="41"/>
        <v>0</v>
      </c>
      <c r="M100" s="287">
        <f t="shared" si="41"/>
        <v>0</v>
      </c>
      <c r="N100" s="326">
        <f t="shared" si="41"/>
        <v>0</v>
      </c>
      <c r="O100" s="287">
        <f t="shared" si="41"/>
        <v>0</v>
      </c>
      <c r="P100" s="326">
        <f t="shared" si="41"/>
        <v>0</v>
      </c>
      <c r="Q100" s="287">
        <f t="shared" si="41"/>
        <v>0</v>
      </c>
      <c r="R100" s="326">
        <f t="shared" si="37"/>
        <v>0</v>
      </c>
      <c r="S100" s="287">
        <f t="shared" si="38"/>
        <v>0</v>
      </c>
      <c r="T100" s="280"/>
      <c r="U100" s="197"/>
    </row>
    <row r="101" s="238" customFormat="1">
      <c r="A101" s="260" t="s">
        <v>463</v>
      </c>
      <c r="B101" s="267" t="s">
        <v>464</v>
      </c>
      <c r="C101" s="262" t="s">
        <v>354</v>
      </c>
      <c r="D101" s="263"/>
      <c r="E101" s="318">
        <v>0</v>
      </c>
      <c r="F101" s="319"/>
      <c r="G101" s="266"/>
      <c r="H101" s="319"/>
      <c r="I101" s="266"/>
      <c r="J101" s="319"/>
      <c r="K101" s="266"/>
      <c r="L101" s="319"/>
      <c r="M101" s="266"/>
      <c r="N101" s="319"/>
      <c r="O101" s="266"/>
      <c r="P101" s="319"/>
      <c r="Q101" s="266"/>
      <c r="R101" s="319">
        <f t="shared" si="37"/>
        <v>0</v>
      </c>
      <c r="S101" s="266">
        <f t="shared" si="38"/>
        <v>0</v>
      </c>
      <c r="T101" s="259"/>
      <c r="U101" s="197"/>
    </row>
    <row r="102" s="238" customFormat="1">
      <c r="A102" s="260" t="s">
        <v>465</v>
      </c>
      <c r="B102" s="261" t="s">
        <v>466</v>
      </c>
      <c r="C102" s="262" t="s">
        <v>354</v>
      </c>
      <c r="D102" s="263"/>
      <c r="E102" s="318">
        <v>0</v>
      </c>
      <c r="F102" s="319"/>
      <c r="G102" s="266"/>
      <c r="H102" s="319"/>
      <c r="I102" s="266"/>
      <c r="J102" s="319"/>
      <c r="K102" s="266"/>
      <c r="L102" s="319"/>
      <c r="M102" s="266"/>
      <c r="N102" s="319"/>
      <c r="O102" s="266"/>
      <c r="P102" s="319"/>
      <c r="Q102" s="266"/>
      <c r="R102" s="319">
        <f t="shared" si="37"/>
        <v>0</v>
      </c>
      <c r="S102" s="266">
        <f t="shared" si="38"/>
        <v>0</v>
      </c>
      <c r="T102" s="259"/>
      <c r="U102" s="197"/>
    </row>
    <row r="103" s="238" customFormat="1">
      <c r="A103" s="282" t="s">
        <v>467</v>
      </c>
      <c r="B103" s="335" t="s">
        <v>422</v>
      </c>
      <c r="C103" s="284" t="s">
        <v>354</v>
      </c>
      <c r="D103" s="281"/>
      <c r="E103" s="325">
        <f t="shared" ref="E103:Q103" si="42">E104+E105+E106+E108</f>
        <v>0.085000000000000006</v>
      </c>
      <c r="F103" s="326">
        <f t="shared" si="42"/>
        <v>0</v>
      </c>
      <c r="G103" s="287">
        <f t="shared" si="42"/>
        <v>0</v>
      </c>
      <c r="H103" s="326">
        <f t="shared" si="42"/>
        <v>0</v>
      </c>
      <c r="I103" s="287">
        <f t="shared" si="42"/>
        <v>0</v>
      </c>
      <c r="J103" s="326">
        <f t="shared" si="42"/>
        <v>0</v>
      </c>
      <c r="K103" s="287">
        <f t="shared" si="42"/>
        <v>0</v>
      </c>
      <c r="L103" s="326">
        <f t="shared" si="42"/>
        <v>0</v>
      </c>
      <c r="M103" s="287">
        <f t="shared" si="42"/>
        <v>0</v>
      </c>
      <c r="N103" s="326">
        <f t="shared" si="42"/>
        <v>0</v>
      </c>
      <c r="O103" s="287">
        <f t="shared" si="42"/>
        <v>0</v>
      </c>
      <c r="P103" s="326">
        <f t="shared" si="42"/>
        <v>0</v>
      </c>
      <c r="Q103" s="287">
        <f t="shared" si="42"/>
        <v>0</v>
      </c>
      <c r="R103" s="326">
        <f t="shared" si="37"/>
        <v>0</v>
      </c>
      <c r="S103" s="287">
        <f t="shared" si="38"/>
        <v>0</v>
      </c>
      <c r="T103" s="259"/>
      <c r="U103" s="197"/>
    </row>
    <row r="104" s="238" customFormat="1">
      <c r="A104" s="260" t="s">
        <v>468</v>
      </c>
      <c r="B104" s="261" t="s">
        <v>469</v>
      </c>
      <c r="C104" s="262" t="s">
        <v>354</v>
      </c>
      <c r="D104" s="268"/>
      <c r="E104" s="318"/>
      <c r="F104" s="319"/>
      <c r="G104" s="266"/>
      <c r="H104" s="319"/>
      <c r="I104" s="266"/>
      <c r="J104" s="319"/>
      <c r="K104" s="266"/>
      <c r="L104" s="319"/>
      <c r="M104" s="266"/>
      <c r="N104" s="319"/>
      <c r="O104" s="266"/>
      <c r="P104" s="319"/>
      <c r="Q104" s="266"/>
      <c r="R104" s="319">
        <f t="shared" si="37"/>
        <v>0</v>
      </c>
      <c r="S104" s="266">
        <f t="shared" si="38"/>
        <v>0</v>
      </c>
      <c r="T104" s="259"/>
      <c r="U104" s="197"/>
    </row>
    <row r="105" s="238" customFormat="1">
      <c r="A105" s="260" t="s">
        <v>470</v>
      </c>
      <c r="B105" s="261" t="s">
        <v>471</v>
      </c>
      <c r="C105" s="262" t="s">
        <v>354</v>
      </c>
      <c r="D105" s="263"/>
      <c r="E105" s="318"/>
      <c r="F105" s="319"/>
      <c r="G105" s="266"/>
      <c r="H105" s="319"/>
      <c r="I105" s="266"/>
      <c r="J105" s="319"/>
      <c r="K105" s="266"/>
      <c r="L105" s="319"/>
      <c r="M105" s="266"/>
      <c r="N105" s="319"/>
      <c r="O105" s="266"/>
      <c r="P105" s="319"/>
      <c r="Q105" s="266"/>
      <c r="R105" s="319">
        <f t="shared" si="37"/>
        <v>0</v>
      </c>
      <c r="S105" s="266">
        <f t="shared" si="38"/>
        <v>0</v>
      </c>
      <c r="T105" s="259"/>
      <c r="U105" s="197"/>
    </row>
    <row r="106" s="238" customFormat="1">
      <c r="A106" s="282" t="s">
        <v>472</v>
      </c>
      <c r="B106" s="283" t="s">
        <v>473</v>
      </c>
      <c r="C106" s="284" t="s">
        <v>354</v>
      </c>
      <c r="D106" s="281"/>
      <c r="E106" s="325">
        <f>E107</f>
        <v>0</v>
      </c>
      <c r="F106" s="326"/>
      <c r="G106" s="287"/>
      <c r="H106" s="326"/>
      <c r="I106" s="287"/>
      <c r="J106" s="326"/>
      <c r="K106" s="287"/>
      <c r="L106" s="326"/>
      <c r="M106" s="287"/>
      <c r="N106" s="326"/>
      <c r="O106" s="287"/>
      <c r="P106" s="326"/>
      <c r="Q106" s="287"/>
      <c r="R106" s="326">
        <f t="shared" si="37"/>
        <v>0</v>
      </c>
      <c r="S106" s="287">
        <f t="shared" si="38"/>
        <v>0</v>
      </c>
      <c r="T106" s="259"/>
      <c r="U106" s="197"/>
    </row>
    <row r="107" s="238" customFormat="1">
      <c r="A107" s="260" t="s">
        <v>474</v>
      </c>
      <c r="B107" s="267" t="s">
        <v>475</v>
      </c>
      <c r="C107" s="262" t="s">
        <v>354</v>
      </c>
      <c r="D107" s="268"/>
      <c r="E107" s="318">
        <v>0</v>
      </c>
      <c r="F107" s="319"/>
      <c r="G107" s="266"/>
      <c r="H107" s="319"/>
      <c r="I107" s="266"/>
      <c r="J107" s="319"/>
      <c r="K107" s="266"/>
      <c r="L107" s="319"/>
      <c r="M107" s="266"/>
      <c r="N107" s="319"/>
      <c r="O107" s="266"/>
      <c r="P107" s="319"/>
      <c r="Q107" s="266"/>
      <c r="R107" s="319">
        <f t="shared" si="37"/>
        <v>0</v>
      </c>
      <c r="S107" s="266">
        <f t="shared" si="38"/>
        <v>0</v>
      </c>
      <c r="T107" s="280"/>
      <c r="U107" s="197"/>
    </row>
    <row r="108" s="238" customFormat="1">
      <c r="A108" s="290" t="s">
        <v>476</v>
      </c>
      <c r="B108" s="291" t="s">
        <v>477</v>
      </c>
      <c r="C108" s="292" t="s">
        <v>354</v>
      </c>
      <c r="D108" s="293"/>
      <c r="E108" s="336">
        <f>85/1000</f>
        <v>0.085000000000000006</v>
      </c>
      <c r="F108" s="337"/>
      <c r="G108" s="296"/>
      <c r="H108" s="337"/>
      <c r="I108" s="296"/>
      <c r="J108" s="337"/>
      <c r="K108" s="296"/>
      <c r="L108" s="337"/>
      <c r="M108" s="296"/>
      <c r="N108" s="337"/>
      <c r="O108" s="296"/>
      <c r="P108" s="337"/>
      <c r="Q108" s="296"/>
      <c r="R108" s="337">
        <f t="shared" si="37"/>
        <v>0</v>
      </c>
      <c r="S108" s="296">
        <f t="shared" si="38"/>
        <v>0</v>
      </c>
      <c r="U108" s="197"/>
    </row>
    <row r="109" s="238" customFormat="1">
      <c r="A109" s="252" t="s">
        <v>478</v>
      </c>
      <c r="B109" s="253" t="s">
        <v>479</v>
      </c>
      <c r="C109" s="254" t="s">
        <v>354</v>
      </c>
      <c r="D109" s="255"/>
      <c r="E109" s="322">
        <f t="shared" ref="E109:P109" si="43">E81+E96</f>
        <v>-3.1580000000000004</v>
      </c>
      <c r="F109" s="323">
        <f t="shared" si="43"/>
        <v>0</v>
      </c>
      <c r="G109" s="258">
        <f t="shared" si="43"/>
        <v>0</v>
      </c>
      <c r="H109" s="323">
        <f t="shared" si="43"/>
        <v>0.41700000000000159</v>
      </c>
      <c r="I109" s="258">
        <f t="shared" si="43"/>
        <v>0.41700000000000159</v>
      </c>
      <c r="J109" s="323">
        <f t="shared" si="43"/>
        <v>0.39699999999999847</v>
      </c>
      <c r="K109" s="258">
        <f t="shared" si="43"/>
        <v>0.39699999999999847</v>
      </c>
      <c r="L109" s="323">
        <f t="shared" si="43"/>
        <v>0.97769999999999513</v>
      </c>
      <c r="M109" s="258">
        <f t="shared" si="43"/>
        <v>0.97769999999999513</v>
      </c>
      <c r="N109" s="323">
        <f t="shared" si="43"/>
        <v>1.6822335999999893</v>
      </c>
      <c r="O109" s="258">
        <f t="shared" si="43"/>
        <v>1.6822335999999893</v>
      </c>
      <c r="P109" s="323">
        <f t="shared" si="43"/>
        <v>0.6132053439999865</v>
      </c>
      <c r="Q109" s="258">
        <f>Q81+Q96</f>
        <v>0.6132053439999865</v>
      </c>
      <c r="R109" s="323">
        <f t="shared" si="37"/>
        <v>4.087138943999971</v>
      </c>
      <c r="S109" s="258">
        <f t="shared" si="38"/>
        <v>4.087138943999971</v>
      </c>
      <c r="T109" s="280"/>
      <c r="U109" s="197"/>
    </row>
    <row r="110" s="238" customFormat="1">
      <c r="A110" s="260" t="s">
        <v>480</v>
      </c>
      <c r="B110" s="267" t="s">
        <v>481</v>
      </c>
      <c r="C110" s="262" t="s">
        <v>354</v>
      </c>
      <c r="D110" s="263"/>
      <c r="E110" s="318"/>
      <c r="F110" s="338"/>
      <c r="G110" s="266"/>
      <c r="H110" s="338"/>
      <c r="I110" s="266"/>
      <c r="J110" s="338"/>
      <c r="K110" s="266"/>
      <c r="L110" s="338"/>
      <c r="M110" s="266"/>
      <c r="N110" s="338"/>
      <c r="O110" s="266"/>
      <c r="P110" s="338"/>
      <c r="Q110" s="266"/>
      <c r="R110" s="338">
        <f t="shared" si="37"/>
        <v>0</v>
      </c>
      <c r="S110" s="266">
        <f t="shared" si="38"/>
        <v>0</v>
      </c>
      <c r="T110" s="259"/>
      <c r="U110" s="197"/>
    </row>
    <row r="111" s="238" customFormat="1">
      <c r="A111" s="260" t="s">
        <v>482</v>
      </c>
      <c r="B111" s="267" t="s">
        <v>356</v>
      </c>
      <c r="C111" s="262" t="s">
        <v>354</v>
      </c>
      <c r="D111" s="263"/>
      <c r="E111" s="318"/>
      <c r="F111" s="338"/>
      <c r="G111" s="266"/>
      <c r="H111" s="338"/>
      <c r="I111" s="266"/>
      <c r="J111" s="338"/>
      <c r="K111" s="266"/>
      <c r="L111" s="338"/>
      <c r="M111" s="266"/>
      <c r="N111" s="338"/>
      <c r="O111" s="266"/>
      <c r="P111" s="338"/>
      <c r="Q111" s="266"/>
      <c r="R111" s="338">
        <f t="shared" si="37"/>
        <v>0</v>
      </c>
      <c r="S111" s="266">
        <f t="shared" si="38"/>
        <v>0</v>
      </c>
      <c r="T111" s="280"/>
      <c r="U111" s="197"/>
    </row>
    <row r="112" s="238" customFormat="1">
      <c r="A112" s="260" t="s">
        <v>483</v>
      </c>
      <c r="B112" s="267" t="s">
        <v>357</v>
      </c>
      <c r="C112" s="262" t="s">
        <v>354</v>
      </c>
      <c r="D112" s="263"/>
      <c r="E112" s="318"/>
      <c r="F112" s="338"/>
      <c r="G112" s="266"/>
      <c r="H112" s="338"/>
      <c r="I112" s="266"/>
      <c r="J112" s="338"/>
      <c r="K112" s="266"/>
      <c r="L112" s="338"/>
      <c r="M112" s="266"/>
      <c r="N112" s="338"/>
      <c r="O112" s="266"/>
      <c r="P112" s="338"/>
      <c r="Q112" s="266"/>
      <c r="R112" s="338">
        <f t="shared" si="37"/>
        <v>0</v>
      </c>
      <c r="S112" s="266">
        <f t="shared" si="38"/>
        <v>0</v>
      </c>
      <c r="T112" s="259"/>
      <c r="U112" s="197"/>
    </row>
    <row r="113" s="238" customFormat="1">
      <c r="A113" s="260" t="s">
        <v>484</v>
      </c>
      <c r="B113" s="267" t="s">
        <v>358</v>
      </c>
      <c r="C113" s="262" t="s">
        <v>354</v>
      </c>
      <c r="D113" s="263"/>
      <c r="E113" s="318"/>
      <c r="F113" s="338"/>
      <c r="G113" s="266"/>
      <c r="H113" s="338"/>
      <c r="I113" s="266"/>
      <c r="J113" s="338"/>
      <c r="K113" s="266"/>
      <c r="L113" s="338"/>
      <c r="M113" s="266"/>
      <c r="N113" s="338"/>
      <c r="O113" s="266"/>
      <c r="P113" s="338"/>
      <c r="Q113" s="266"/>
      <c r="R113" s="338">
        <f t="shared" si="37"/>
        <v>0</v>
      </c>
      <c r="S113" s="266">
        <f t="shared" si="38"/>
        <v>0</v>
      </c>
      <c r="T113" s="259"/>
      <c r="U113" s="197"/>
    </row>
    <row r="114" s="238" customFormat="1">
      <c r="A114" s="260" t="s">
        <v>485</v>
      </c>
      <c r="B114" s="261" t="s">
        <v>359</v>
      </c>
      <c r="C114" s="262" t="s">
        <v>354</v>
      </c>
      <c r="D114" s="263"/>
      <c r="E114" s="318"/>
      <c r="F114" s="338"/>
      <c r="G114" s="266"/>
      <c r="H114" s="338"/>
      <c r="I114" s="266"/>
      <c r="J114" s="338"/>
      <c r="K114" s="266"/>
      <c r="L114" s="338"/>
      <c r="M114" s="266"/>
      <c r="N114" s="338"/>
      <c r="O114" s="266"/>
      <c r="P114" s="338"/>
      <c r="Q114" s="266"/>
      <c r="R114" s="338">
        <f t="shared" si="37"/>
        <v>0</v>
      </c>
      <c r="S114" s="266">
        <f t="shared" si="38"/>
        <v>0</v>
      </c>
      <c r="T114" s="259"/>
      <c r="U114" s="197"/>
    </row>
    <row r="115" s="238" customFormat="1">
      <c r="A115" s="260" t="s">
        <v>486</v>
      </c>
      <c r="B115" s="261" t="s">
        <v>360</v>
      </c>
      <c r="C115" s="262" t="s">
        <v>354</v>
      </c>
      <c r="D115" s="268"/>
      <c r="E115" s="318">
        <f>E29-E44-0.034000000000000002</f>
        <v>-3.2820000000000009</v>
      </c>
      <c r="F115" s="338"/>
      <c r="G115" s="266"/>
      <c r="H115" s="338"/>
      <c r="I115" s="266"/>
      <c r="J115" s="338"/>
      <c r="K115" s="266"/>
      <c r="L115" s="338"/>
      <c r="M115" s="266"/>
      <c r="N115" s="338"/>
      <c r="O115" s="266"/>
      <c r="P115" s="338"/>
      <c r="Q115" s="266"/>
      <c r="R115" s="338">
        <f t="shared" si="37"/>
        <v>0</v>
      </c>
      <c r="S115" s="266">
        <f t="shared" si="38"/>
        <v>0</v>
      </c>
      <c r="T115" s="259"/>
      <c r="U115" s="197"/>
    </row>
    <row r="116" s="238" customFormat="1">
      <c r="A116" s="260" t="s">
        <v>487</v>
      </c>
      <c r="B116" s="261" t="s">
        <v>361</v>
      </c>
      <c r="C116" s="262" t="s">
        <v>354</v>
      </c>
      <c r="D116" s="263"/>
      <c r="E116" s="318"/>
      <c r="F116" s="338"/>
      <c r="G116" s="266"/>
      <c r="H116" s="338"/>
      <c r="I116" s="266"/>
      <c r="J116" s="338"/>
      <c r="K116" s="266"/>
      <c r="L116" s="338"/>
      <c r="M116" s="266"/>
      <c r="N116" s="338"/>
      <c r="O116" s="266"/>
      <c r="P116" s="338"/>
      <c r="Q116" s="266"/>
      <c r="R116" s="338">
        <f t="shared" si="37"/>
        <v>0</v>
      </c>
      <c r="S116" s="266">
        <f t="shared" si="38"/>
        <v>0</v>
      </c>
      <c r="T116" s="259"/>
      <c r="U116" s="197"/>
    </row>
    <row r="117" s="238" customFormat="1">
      <c r="A117" s="260" t="s">
        <v>488</v>
      </c>
      <c r="B117" s="261" t="s">
        <v>362</v>
      </c>
      <c r="C117" s="262" t="s">
        <v>354</v>
      </c>
      <c r="D117" s="268"/>
      <c r="E117" s="318">
        <f>E31-E46</f>
        <v>0.22600000000000001</v>
      </c>
      <c r="F117" s="338"/>
      <c r="G117" s="266"/>
      <c r="H117" s="338"/>
      <c r="I117" s="266"/>
      <c r="J117" s="338"/>
      <c r="K117" s="266"/>
      <c r="L117" s="338"/>
      <c r="M117" s="266"/>
      <c r="N117" s="338"/>
      <c r="O117" s="266"/>
      <c r="P117" s="338"/>
      <c r="Q117" s="266"/>
      <c r="R117" s="338">
        <f t="shared" si="37"/>
        <v>0</v>
      </c>
      <c r="S117" s="266">
        <f t="shared" si="38"/>
        <v>0</v>
      </c>
      <c r="T117" s="259"/>
      <c r="U117" s="197"/>
    </row>
    <row r="118" s="238" customFormat="1">
      <c r="A118" s="260" t="s">
        <v>489</v>
      </c>
      <c r="B118" s="261" t="s">
        <v>364</v>
      </c>
      <c r="C118" s="262" t="s">
        <v>354</v>
      </c>
      <c r="D118" s="263"/>
      <c r="E118" s="318"/>
      <c r="F118" s="338"/>
      <c r="G118" s="266"/>
      <c r="H118" s="338"/>
      <c r="I118" s="266"/>
      <c r="J118" s="338"/>
      <c r="K118" s="266"/>
      <c r="L118" s="338"/>
      <c r="M118" s="266"/>
      <c r="N118" s="338"/>
      <c r="O118" s="266"/>
      <c r="P118" s="338"/>
      <c r="Q118" s="266"/>
      <c r="R118" s="338">
        <f t="shared" si="37"/>
        <v>0</v>
      </c>
      <c r="S118" s="266">
        <f t="shared" si="38"/>
        <v>0</v>
      </c>
      <c r="T118" s="259"/>
      <c r="U118" s="197"/>
    </row>
    <row r="119" s="238" customFormat="1">
      <c r="A119" s="260" t="s">
        <v>490</v>
      </c>
      <c r="B119" s="261" t="s">
        <v>366</v>
      </c>
      <c r="C119" s="262" t="s">
        <v>354</v>
      </c>
      <c r="D119" s="263"/>
      <c r="E119" s="318"/>
      <c r="F119" s="338"/>
      <c r="G119" s="266"/>
      <c r="H119" s="338"/>
      <c r="I119" s="266"/>
      <c r="J119" s="338"/>
      <c r="K119" s="266"/>
      <c r="L119" s="338"/>
      <c r="M119" s="266"/>
      <c r="N119" s="338"/>
      <c r="O119" s="266"/>
      <c r="P119" s="338"/>
      <c r="Q119" s="266"/>
      <c r="R119" s="338">
        <f t="shared" si="37"/>
        <v>0</v>
      </c>
      <c r="S119" s="266">
        <f t="shared" si="38"/>
        <v>0</v>
      </c>
      <c r="T119" s="259"/>
      <c r="U119" s="197"/>
    </row>
    <row r="120" s="238" customFormat="1">
      <c r="A120" s="260" t="s">
        <v>491</v>
      </c>
      <c r="B120" s="267" t="s">
        <v>368</v>
      </c>
      <c r="C120" s="262" t="s">
        <v>354</v>
      </c>
      <c r="D120" s="263"/>
      <c r="E120" s="318"/>
      <c r="F120" s="338"/>
      <c r="G120" s="266"/>
      <c r="H120" s="338"/>
      <c r="I120" s="266"/>
      <c r="J120" s="338"/>
      <c r="K120" s="266"/>
      <c r="L120" s="338"/>
      <c r="M120" s="266"/>
      <c r="N120" s="338"/>
      <c r="O120" s="266"/>
      <c r="P120" s="338"/>
      <c r="Q120" s="266"/>
      <c r="R120" s="338">
        <f t="shared" si="37"/>
        <v>0</v>
      </c>
      <c r="S120" s="266">
        <f t="shared" si="38"/>
        <v>0</v>
      </c>
      <c r="T120" s="259"/>
      <c r="U120" s="197"/>
    </row>
    <row r="121" s="238" customFormat="1">
      <c r="A121" s="260" t="s">
        <v>492</v>
      </c>
      <c r="B121" s="261" t="s">
        <v>370</v>
      </c>
      <c r="C121" s="262" t="s">
        <v>354</v>
      </c>
      <c r="D121" s="263"/>
      <c r="E121" s="318"/>
      <c r="F121" s="338"/>
      <c r="G121" s="266"/>
      <c r="H121" s="338"/>
      <c r="I121" s="266"/>
      <c r="J121" s="338"/>
      <c r="K121" s="266"/>
      <c r="L121" s="338"/>
      <c r="M121" s="266"/>
      <c r="N121" s="338"/>
      <c r="O121" s="266"/>
      <c r="P121" s="338"/>
      <c r="Q121" s="266"/>
      <c r="R121" s="338">
        <f t="shared" si="37"/>
        <v>0</v>
      </c>
      <c r="S121" s="266">
        <f t="shared" si="38"/>
        <v>0</v>
      </c>
      <c r="T121" s="259"/>
      <c r="U121" s="197"/>
    </row>
    <row r="122" s="238" customFormat="1">
      <c r="A122" s="260" t="s">
        <v>493</v>
      </c>
      <c r="B122" s="261" t="s">
        <v>372</v>
      </c>
      <c r="C122" s="262" t="s">
        <v>354</v>
      </c>
      <c r="D122" s="263"/>
      <c r="E122" s="318"/>
      <c r="F122" s="338"/>
      <c r="G122" s="266"/>
      <c r="H122" s="338"/>
      <c r="I122" s="266"/>
      <c r="J122" s="338"/>
      <c r="K122" s="266"/>
      <c r="L122" s="338"/>
      <c r="M122" s="266"/>
      <c r="N122" s="338"/>
      <c r="O122" s="266"/>
      <c r="P122" s="338"/>
      <c r="Q122" s="266"/>
      <c r="R122" s="338">
        <f t="shared" si="37"/>
        <v>0</v>
      </c>
      <c r="S122" s="266">
        <f t="shared" si="38"/>
        <v>0</v>
      </c>
      <c r="T122" s="259"/>
      <c r="U122" s="197"/>
    </row>
    <row r="123" s="238" customFormat="1">
      <c r="A123" s="269" t="s">
        <v>494</v>
      </c>
      <c r="B123" s="270" t="s">
        <v>374</v>
      </c>
      <c r="C123" s="271" t="s">
        <v>354</v>
      </c>
      <c r="D123" s="272"/>
      <c r="E123" s="320">
        <f>E37-E52-0.050999999999999997</f>
        <v>-0.10199999999999992</v>
      </c>
      <c r="F123" s="339"/>
      <c r="G123" s="275"/>
      <c r="H123" s="339"/>
      <c r="I123" s="275"/>
      <c r="J123" s="339"/>
      <c r="K123" s="275"/>
      <c r="L123" s="339"/>
      <c r="M123" s="275"/>
      <c r="N123" s="339"/>
      <c r="O123" s="275"/>
      <c r="P123" s="339"/>
      <c r="Q123" s="275"/>
      <c r="R123" s="339">
        <f t="shared" si="37"/>
        <v>0</v>
      </c>
      <c r="S123" s="275">
        <f t="shared" si="38"/>
        <v>0</v>
      </c>
      <c r="T123" s="259"/>
      <c r="U123" s="197"/>
    </row>
    <row r="124" s="238" customFormat="1">
      <c r="A124" s="340" t="s">
        <v>495</v>
      </c>
      <c r="B124" s="341" t="s">
        <v>496</v>
      </c>
      <c r="C124" s="342" t="s">
        <v>354</v>
      </c>
      <c r="D124" s="343"/>
      <c r="E124" s="344">
        <f>114/1000</f>
        <v>0.114</v>
      </c>
      <c r="F124" s="345"/>
      <c r="G124" s="346"/>
      <c r="H124" s="345"/>
      <c r="I124" s="346"/>
      <c r="J124" s="345"/>
      <c r="K124" s="346"/>
      <c r="L124" s="345"/>
      <c r="M124" s="346"/>
      <c r="N124" s="345"/>
      <c r="O124" s="346"/>
      <c r="P124" s="345"/>
      <c r="Q124" s="346"/>
      <c r="R124" s="345">
        <f t="shared" si="37"/>
        <v>0</v>
      </c>
      <c r="S124" s="346">
        <f t="shared" si="38"/>
        <v>0</v>
      </c>
      <c r="T124" s="259"/>
      <c r="U124" s="197"/>
    </row>
    <row r="125" s="238" customFormat="1">
      <c r="A125" s="260" t="s">
        <v>497</v>
      </c>
      <c r="B125" s="261" t="s">
        <v>355</v>
      </c>
      <c r="C125" s="262" t="s">
        <v>354</v>
      </c>
      <c r="D125" s="263"/>
      <c r="E125" s="318"/>
      <c r="F125" s="338"/>
      <c r="G125" s="266"/>
      <c r="H125" s="338"/>
      <c r="I125" s="266"/>
      <c r="J125" s="338"/>
      <c r="K125" s="266"/>
      <c r="L125" s="338"/>
      <c r="M125" s="266"/>
      <c r="N125" s="338"/>
      <c r="O125" s="266"/>
      <c r="P125" s="338"/>
      <c r="Q125" s="266"/>
      <c r="R125" s="338">
        <f t="shared" si="37"/>
        <v>0</v>
      </c>
      <c r="S125" s="266">
        <f t="shared" si="38"/>
        <v>0</v>
      </c>
      <c r="T125" s="259"/>
      <c r="U125" s="197"/>
    </row>
    <row r="126" s="238" customFormat="1">
      <c r="A126" s="260" t="s">
        <v>498</v>
      </c>
      <c r="B126" s="267" t="s">
        <v>356</v>
      </c>
      <c r="C126" s="262" t="s">
        <v>354</v>
      </c>
      <c r="D126" s="263"/>
      <c r="E126" s="318"/>
      <c r="F126" s="338"/>
      <c r="G126" s="266"/>
      <c r="H126" s="338"/>
      <c r="I126" s="266"/>
      <c r="J126" s="338"/>
      <c r="K126" s="266"/>
      <c r="L126" s="338"/>
      <c r="M126" s="266"/>
      <c r="N126" s="338"/>
      <c r="O126" s="266"/>
      <c r="P126" s="338"/>
      <c r="Q126" s="266"/>
      <c r="R126" s="338">
        <f t="shared" si="37"/>
        <v>0</v>
      </c>
      <c r="S126" s="266">
        <f t="shared" si="38"/>
        <v>0</v>
      </c>
      <c r="T126" s="259"/>
      <c r="U126" s="197"/>
    </row>
    <row r="127" s="238" customFormat="1">
      <c r="A127" s="260" t="s">
        <v>499</v>
      </c>
      <c r="B127" s="267" t="s">
        <v>357</v>
      </c>
      <c r="C127" s="262" t="s">
        <v>354</v>
      </c>
      <c r="D127" s="263"/>
      <c r="E127" s="318"/>
      <c r="F127" s="338"/>
      <c r="G127" s="266"/>
      <c r="H127" s="338"/>
      <c r="I127" s="266"/>
      <c r="J127" s="338"/>
      <c r="K127" s="266"/>
      <c r="L127" s="338"/>
      <c r="M127" s="266"/>
      <c r="N127" s="338"/>
      <c r="O127" s="266"/>
      <c r="P127" s="338"/>
      <c r="Q127" s="266"/>
      <c r="R127" s="338">
        <f t="shared" si="37"/>
        <v>0</v>
      </c>
      <c r="S127" s="266">
        <f t="shared" si="38"/>
        <v>0</v>
      </c>
      <c r="T127" s="259"/>
      <c r="U127" s="197"/>
    </row>
    <row r="128" s="238" customFormat="1">
      <c r="A128" s="260" t="s">
        <v>500</v>
      </c>
      <c r="B128" s="267" t="s">
        <v>358</v>
      </c>
      <c r="C128" s="262" t="s">
        <v>354</v>
      </c>
      <c r="D128" s="263"/>
      <c r="E128" s="318"/>
      <c r="F128" s="338"/>
      <c r="G128" s="266"/>
      <c r="H128" s="338"/>
      <c r="I128" s="266"/>
      <c r="J128" s="338"/>
      <c r="K128" s="266"/>
      <c r="L128" s="338"/>
      <c r="M128" s="266"/>
      <c r="N128" s="338"/>
      <c r="O128" s="266"/>
      <c r="P128" s="338"/>
      <c r="Q128" s="266"/>
      <c r="R128" s="338">
        <f t="shared" si="37"/>
        <v>0</v>
      </c>
      <c r="S128" s="266">
        <f t="shared" si="38"/>
        <v>0</v>
      </c>
      <c r="T128" s="259"/>
      <c r="U128" s="197"/>
    </row>
    <row r="129" s="238" customFormat="1">
      <c r="A129" s="260" t="s">
        <v>501</v>
      </c>
      <c r="B129" s="289" t="s">
        <v>502</v>
      </c>
      <c r="C129" s="262" t="s">
        <v>354</v>
      </c>
      <c r="D129" s="263"/>
      <c r="E129" s="318"/>
      <c r="F129" s="338"/>
      <c r="G129" s="266"/>
      <c r="H129" s="338"/>
      <c r="I129" s="266"/>
      <c r="J129" s="338"/>
      <c r="K129" s="266"/>
      <c r="L129" s="338"/>
      <c r="M129" s="266"/>
      <c r="N129" s="338"/>
      <c r="O129" s="266"/>
      <c r="P129" s="338"/>
      <c r="Q129" s="266"/>
      <c r="R129" s="338">
        <f t="shared" si="37"/>
        <v>0</v>
      </c>
      <c r="S129" s="266">
        <f t="shared" si="38"/>
        <v>0</v>
      </c>
      <c r="T129" s="259"/>
      <c r="U129" s="197"/>
    </row>
    <row r="130" s="238" customFormat="1">
      <c r="A130" s="260" t="s">
        <v>503</v>
      </c>
      <c r="B130" s="289" t="s">
        <v>504</v>
      </c>
      <c r="C130" s="262" t="s">
        <v>354</v>
      </c>
      <c r="D130" s="268"/>
      <c r="E130" s="318">
        <f>100/1000</f>
        <v>0.10000000000000001</v>
      </c>
      <c r="F130" s="338"/>
      <c r="G130" s="266"/>
      <c r="H130" s="338"/>
      <c r="I130" s="266"/>
      <c r="J130" s="338"/>
      <c r="K130" s="266"/>
      <c r="L130" s="338"/>
      <c r="M130" s="266"/>
      <c r="N130" s="338"/>
      <c r="O130" s="266"/>
      <c r="P130" s="338"/>
      <c r="Q130" s="266"/>
      <c r="R130" s="338">
        <f t="shared" si="37"/>
        <v>0</v>
      </c>
      <c r="S130" s="266">
        <f t="shared" si="38"/>
        <v>0</v>
      </c>
      <c r="T130" s="259"/>
      <c r="U130" s="197"/>
    </row>
    <row r="131" s="238" customFormat="1">
      <c r="A131" s="260" t="s">
        <v>505</v>
      </c>
      <c r="B131" s="289" t="s">
        <v>506</v>
      </c>
      <c r="C131" s="262" t="s">
        <v>354</v>
      </c>
      <c r="D131" s="263"/>
      <c r="E131" s="318"/>
      <c r="F131" s="338"/>
      <c r="G131" s="266"/>
      <c r="H131" s="338"/>
      <c r="I131" s="266"/>
      <c r="J131" s="338"/>
      <c r="K131" s="266"/>
      <c r="L131" s="338"/>
      <c r="M131" s="266"/>
      <c r="N131" s="338"/>
      <c r="O131" s="266"/>
      <c r="P131" s="338"/>
      <c r="Q131" s="266"/>
      <c r="R131" s="338">
        <f t="shared" si="37"/>
        <v>0</v>
      </c>
      <c r="S131" s="266">
        <f t="shared" si="38"/>
        <v>0</v>
      </c>
      <c r="T131" s="259"/>
      <c r="U131" s="197"/>
    </row>
    <row r="132" s="238" customFormat="1">
      <c r="A132" s="260" t="s">
        <v>507</v>
      </c>
      <c r="B132" s="289" t="s">
        <v>508</v>
      </c>
      <c r="C132" s="262" t="s">
        <v>354</v>
      </c>
      <c r="D132" s="263"/>
      <c r="E132" s="318">
        <f>2/1000</f>
        <v>0.002</v>
      </c>
      <c r="F132" s="338"/>
      <c r="G132" s="266"/>
      <c r="H132" s="338"/>
      <c r="I132" s="266"/>
      <c r="J132" s="338"/>
      <c r="K132" s="266"/>
      <c r="L132" s="338"/>
      <c r="M132" s="266"/>
      <c r="N132" s="338"/>
      <c r="O132" s="266"/>
      <c r="P132" s="338"/>
      <c r="Q132" s="266"/>
      <c r="R132" s="338">
        <f t="shared" si="37"/>
        <v>0</v>
      </c>
      <c r="S132" s="266">
        <f t="shared" si="38"/>
        <v>0</v>
      </c>
      <c r="T132" s="259"/>
      <c r="U132" s="197"/>
    </row>
    <row r="133" s="238" customFormat="1">
      <c r="A133" s="260" t="s">
        <v>509</v>
      </c>
      <c r="B133" s="289" t="s">
        <v>510</v>
      </c>
      <c r="C133" s="262" t="s">
        <v>354</v>
      </c>
      <c r="D133" s="263"/>
      <c r="E133" s="318"/>
      <c r="F133" s="338"/>
      <c r="G133" s="266"/>
      <c r="H133" s="338"/>
      <c r="I133" s="266"/>
      <c r="J133" s="338"/>
      <c r="K133" s="266"/>
      <c r="L133" s="338"/>
      <c r="M133" s="266"/>
      <c r="N133" s="338"/>
      <c r="O133" s="266"/>
      <c r="P133" s="338"/>
      <c r="Q133" s="266"/>
      <c r="R133" s="338">
        <f t="shared" si="37"/>
        <v>0</v>
      </c>
      <c r="S133" s="266">
        <f t="shared" si="38"/>
        <v>0</v>
      </c>
      <c r="T133" s="259"/>
      <c r="U133" s="197"/>
    </row>
    <row r="134" s="238" customFormat="1">
      <c r="A134" s="260" t="s">
        <v>511</v>
      </c>
      <c r="B134" s="289" t="s">
        <v>512</v>
      </c>
      <c r="C134" s="262" t="s">
        <v>354</v>
      </c>
      <c r="D134" s="263"/>
      <c r="E134" s="318"/>
      <c r="F134" s="338"/>
      <c r="G134" s="266"/>
      <c r="H134" s="338"/>
      <c r="I134" s="266"/>
      <c r="J134" s="338"/>
      <c r="K134" s="266"/>
      <c r="L134" s="338"/>
      <c r="M134" s="266"/>
      <c r="N134" s="338"/>
      <c r="O134" s="266"/>
      <c r="P134" s="338"/>
      <c r="Q134" s="266"/>
      <c r="R134" s="338">
        <f t="shared" si="37"/>
        <v>0</v>
      </c>
      <c r="S134" s="266">
        <f t="shared" si="38"/>
        <v>0</v>
      </c>
      <c r="T134" s="259"/>
      <c r="U134" s="197"/>
    </row>
    <row r="135" s="238" customFormat="1">
      <c r="A135" s="260" t="s">
        <v>513</v>
      </c>
      <c r="B135" s="289" t="s">
        <v>368</v>
      </c>
      <c r="C135" s="262" t="s">
        <v>354</v>
      </c>
      <c r="D135" s="263"/>
      <c r="E135" s="318"/>
      <c r="F135" s="338"/>
      <c r="G135" s="266"/>
      <c r="H135" s="338"/>
      <c r="I135" s="266"/>
      <c r="J135" s="338"/>
      <c r="K135" s="266"/>
      <c r="L135" s="338"/>
      <c r="M135" s="266"/>
      <c r="N135" s="338"/>
      <c r="O135" s="266"/>
      <c r="P135" s="338"/>
      <c r="Q135" s="266"/>
      <c r="R135" s="338">
        <f t="shared" si="37"/>
        <v>0</v>
      </c>
      <c r="S135" s="266">
        <f t="shared" si="38"/>
        <v>0</v>
      </c>
      <c r="T135" s="259"/>
      <c r="U135" s="197"/>
    </row>
    <row r="136" s="238" customFormat="1">
      <c r="A136" s="260" t="s">
        <v>514</v>
      </c>
      <c r="B136" s="261" t="s">
        <v>515</v>
      </c>
      <c r="C136" s="262" t="s">
        <v>354</v>
      </c>
      <c r="D136" s="263"/>
      <c r="E136" s="318"/>
      <c r="F136" s="338"/>
      <c r="G136" s="266"/>
      <c r="H136" s="338"/>
      <c r="I136" s="266"/>
      <c r="J136" s="338"/>
      <c r="K136" s="266"/>
      <c r="L136" s="338"/>
      <c r="M136" s="266"/>
      <c r="N136" s="338"/>
      <c r="O136" s="266"/>
      <c r="P136" s="338"/>
      <c r="Q136" s="266"/>
      <c r="R136" s="338">
        <f t="shared" si="37"/>
        <v>0</v>
      </c>
      <c r="S136" s="266">
        <f t="shared" si="38"/>
        <v>0</v>
      </c>
      <c r="T136" s="259"/>
      <c r="U136" s="197"/>
    </row>
    <row r="137" s="238" customFormat="1">
      <c r="A137" s="260" t="s">
        <v>516</v>
      </c>
      <c r="B137" s="261" t="s">
        <v>372</v>
      </c>
      <c r="C137" s="262" t="s">
        <v>354</v>
      </c>
      <c r="D137" s="263"/>
      <c r="E137" s="318"/>
      <c r="F137" s="338"/>
      <c r="G137" s="266"/>
      <c r="H137" s="338"/>
      <c r="I137" s="266"/>
      <c r="J137" s="338"/>
      <c r="K137" s="266"/>
      <c r="L137" s="338"/>
      <c r="M137" s="266"/>
      <c r="N137" s="338"/>
      <c r="O137" s="266"/>
      <c r="P137" s="338"/>
      <c r="Q137" s="266"/>
      <c r="R137" s="338">
        <f t="shared" si="37"/>
        <v>0</v>
      </c>
      <c r="S137" s="266">
        <f t="shared" si="38"/>
        <v>0</v>
      </c>
      <c r="T137" s="259"/>
      <c r="U137" s="197"/>
    </row>
    <row r="138" s="238" customFormat="1">
      <c r="A138" s="347" t="s">
        <v>517</v>
      </c>
      <c r="B138" s="348" t="s">
        <v>518</v>
      </c>
      <c r="C138" s="349" t="s">
        <v>354</v>
      </c>
      <c r="D138" s="350"/>
      <c r="E138" s="351">
        <f>12/1000</f>
        <v>0.012</v>
      </c>
      <c r="F138" s="352"/>
      <c r="G138" s="353"/>
      <c r="H138" s="352"/>
      <c r="I138" s="353"/>
      <c r="J138" s="352"/>
      <c r="K138" s="353"/>
      <c r="L138" s="352"/>
      <c r="M138" s="353"/>
      <c r="N138" s="352"/>
      <c r="O138" s="353"/>
      <c r="P138" s="352"/>
      <c r="Q138" s="353"/>
      <c r="R138" s="352">
        <f t="shared" si="37"/>
        <v>0</v>
      </c>
      <c r="S138" s="353">
        <f t="shared" si="38"/>
        <v>0</v>
      </c>
      <c r="T138" s="259"/>
      <c r="U138" s="197"/>
    </row>
    <row r="139" s="238" customFormat="1">
      <c r="A139" s="252" t="s">
        <v>519</v>
      </c>
      <c r="B139" s="253" t="s">
        <v>520</v>
      </c>
      <c r="C139" s="254" t="s">
        <v>354</v>
      </c>
      <c r="D139" s="255"/>
      <c r="E139" s="322">
        <f>E109-E124</f>
        <v>-3.2720000000000002</v>
      </c>
      <c r="F139" s="354">
        <f t="shared" ref="F139:Q139" si="44">F109+F124</f>
        <v>0</v>
      </c>
      <c r="G139" s="355">
        <f t="shared" si="44"/>
        <v>0</v>
      </c>
      <c r="H139" s="354">
        <f t="shared" si="44"/>
        <v>0.41700000000000159</v>
      </c>
      <c r="I139" s="355">
        <f t="shared" si="44"/>
        <v>0.41700000000000159</v>
      </c>
      <c r="J139" s="354">
        <f t="shared" si="44"/>
        <v>0.39699999999999847</v>
      </c>
      <c r="K139" s="355">
        <f t="shared" si="44"/>
        <v>0.39699999999999847</v>
      </c>
      <c r="L139" s="354">
        <f>L109+L124</f>
        <v>0.97769999999999513</v>
      </c>
      <c r="M139" s="355">
        <f t="shared" si="44"/>
        <v>0.97769999999999513</v>
      </c>
      <c r="N139" s="354">
        <f t="shared" si="44"/>
        <v>1.6822335999999893</v>
      </c>
      <c r="O139" s="355">
        <f t="shared" si="44"/>
        <v>1.6822335999999893</v>
      </c>
      <c r="P139" s="354">
        <f t="shared" si="44"/>
        <v>0.6132053439999865</v>
      </c>
      <c r="Q139" s="355">
        <f t="shared" si="44"/>
        <v>0.6132053439999865</v>
      </c>
      <c r="R139" s="354">
        <f t="shared" si="37"/>
        <v>4.087138943999971</v>
      </c>
      <c r="S139" s="355">
        <f t="shared" si="38"/>
        <v>4.087138943999971</v>
      </c>
      <c r="T139" s="259"/>
      <c r="U139" s="197"/>
    </row>
    <row r="140" s="238" customFormat="1">
      <c r="A140" s="260" t="s">
        <v>521</v>
      </c>
      <c r="B140" s="261" t="s">
        <v>355</v>
      </c>
      <c r="C140" s="262" t="s">
        <v>354</v>
      </c>
      <c r="D140" s="263"/>
      <c r="E140" s="318"/>
      <c r="F140" s="338"/>
      <c r="G140" s="266"/>
      <c r="H140" s="338"/>
      <c r="I140" s="266"/>
      <c r="J140" s="338"/>
      <c r="K140" s="266"/>
      <c r="L140" s="338"/>
      <c r="M140" s="266"/>
      <c r="N140" s="338"/>
      <c r="O140" s="266"/>
      <c r="P140" s="338"/>
      <c r="Q140" s="266"/>
      <c r="R140" s="338">
        <f t="shared" si="37"/>
        <v>0</v>
      </c>
      <c r="S140" s="266">
        <f t="shared" si="38"/>
        <v>0</v>
      </c>
      <c r="T140" s="259"/>
      <c r="U140" s="197"/>
    </row>
    <row r="141" s="238" customFormat="1">
      <c r="A141" s="260" t="s">
        <v>522</v>
      </c>
      <c r="B141" s="267" t="s">
        <v>356</v>
      </c>
      <c r="C141" s="262" t="s">
        <v>354</v>
      </c>
      <c r="D141" s="263"/>
      <c r="E141" s="318"/>
      <c r="F141" s="338"/>
      <c r="G141" s="266"/>
      <c r="H141" s="338"/>
      <c r="I141" s="266"/>
      <c r="J141" s="338"/>
      <c r="K141" s="266"/>
      <c r="L141" s="338"/>
      <c r="M141" s="266"/>
      <c r="N141" s="338"/>
      <c r="O141" s="266"/>
      <c r="P141" s="338"/>
      <c r="Q141" s="266"/>
      <c r="R141" s="338">
        <f t="shared" si="37"/>
        <v>0</v>
      </c>
      <c r="S141" s="266">
        <f t="shared" si="38"/>
        <v>0</v>
      </c>
      <c r="T141" s="259"/>
      <c r="U141" s="197"/>
    </row>
    <row r="142" s="238" customFormat="1">
      <c r="A142" s="260" t="s">
        <v>523</v>
      </c>
      <c r="B142" s="267" t="s">
        <v>357</v>
      </c>
      <c r="C142" s="262" t="s">
        <v>354</v>
      </c>
      <c r="D142" s="263"/>
      <c r="E142" s="318"/>
      <c r="F142" s="338"/>
      <c r="G142" s="266"/>
      <c r="H142" s="338"/>
      <c r="I142" s="266"/>
      <c r="J142" s="338"/>
      <c r="K142" s="266"/>
      <c r="L142" s="338"/>
      <c r="M142" s="266"/>
      <c r="N142" s="338"/>
      <c r="O142" s="266"/>
      <c r="P142" s="338"/>
      <c r="Q142" s="266"/>
      <c r="R142" s="338">
        <f t="shared" si="37"/>
        <v>0</v>
      </c>
      <c r="S142" s="266">
        <f t="shared" si="38"/>
        <v>0</v>
      </c>
      <c r="T142" s="259"/>
      <c r="U142" s="197"/>
    </row>
    <row r="143" s="238" customFormat="1">
      <c r="A143" s="260" t="s">
        <v>524</v>
      </c>
      <c r="B143" s="267" t="s">
        <v>358</v>
      </c>
      <c r="C143" s="262" t="s">
        <v>354</v>
      </c>
      <c r="D143" s="263"/>
      <c r="E143" s="318"/>
      <c r="F143" s="338"/>
      <c r="G143" s="266"/>
      <c r="H143" s="338"/>
      <c r="I143" s="266"/>
      <c r="J143" s="338"/>
      <c r="K143" s="266"/>
      <c r="L143" s="338"/>
      <c r="M143" s="266"/>
      <c r="N143" s="338"/>
      <c r="O143" s="266"/>
      <c r="P143" s="338"/>
      <c r="Q143" s="266"/>
      <c r="R143" s="338">
        <f t="shared" si="37"/>
        <v>0</v>
      </c>
      <c r="S143" s="266">
        <f t="shared" si="38"/>
        <v>0</v>
      </c>
      <c r="T143" s="259"/>
      <c r="U143" s="197"/>
    </row>
    <row r="144" s="238" customFormat="1">
      <c r="A144" s="260" t="s">
        <v>525</v>
      </c>
      <c r="B144" s="261" t="s">
        <v>359</v>
      </c>
      <c r="C144" s="262" t="s">
        <v>354</v>
      </c>
      <c r="D144" s="263"/>
      <c r="E144" s="318"/>
      <c r="F144" s="338"/>
      <c r="G144" s="266"/>
      <c r="H144" s="338"/>
      <c r="I144" s="266"/>
      <c r="J144" s="338"/>
      <c r="K144" s="266"/>
      <c r="L144" s="338"/>
      <c r="M144" s="266"/>
      <c r="N144" s="338"/>
      <c r="O144" s="266"/>
      <c r="P144" s="338"/>
      <c r="Q144" s="266"/>
      <c r="R144" s="338">
        <f t="shared" si="37"/>
        <v>0</v>
      </c>
      <c r="S144" s="266">
        <f t="shared" si="38"/>
        <v>0</v>
      </c>
      <c r="T144" s="259"/>
      <c r="U144" s="197"/>
    </row>
    <row r="145" s="238" customFormat="1">
      <c r="A145" s="260" t="s">
        <v>526</v>
      </c>
      <c r="B145" s="291" t="s">
        <v>360</v>
      </c>
      <c r="C145" s="292" t="s">
        <v>354</v>
      </c>
      <c r="D145" s="268"/>
      <c r="E145" s="318">
        <f>E115-E130</f>
        <v>-3.382000000000001</v>
      </c>
      <c r="F145" s="338"/>
      <c r="G145" s="266"/>
      <c r="H145" s="338"/>
      <c r="I145" s="266"/>
      <c r="J145" s="338"/>
      <c r="K145" s="266"/>
      <c r="L145" s="338"/>
      <c r="M145" s="266"/>
      <c r="N145" s="338"/>
      <c r="O145" s="266"/>
      <c r="P145" s="338"/>
      <c r="Q145" s="266"/>
      <c r="R145" s="338">
        <f t="shared" si="37"/>
        <v>0</v>
      </c>
      <c r="S145" s="266">
        <f t="shared" si="38"/>
        <v>0</v>
      </c>
      <c r="T145" s="259"/>
      <c r="U145" s="197"/>
    </row>
    <row r="146" s="238" customFormat="1">
      <c r="A146" s="260" t="s">
        <v>527</v>
      </c>
      <c r="B146" s="261" t="s">
        <v>361</v>
      </c>
      <c r="C146" s="262" t="s">
        <v>354</v>
      </c>
      <c r="D146" s="263"/>
      <c r="E146" s="318"/>
      <c r="F146" s="338"/>
      <c r="G146" s="266"/>
      <c r="H146" s="338"/>
      <c r="I146" s="266"/>
      <c r="J146" s="338"/>
      <c r="K146" s="266"/>
      <c r="L146" s="338"/>
      <c r="M146" s="266"/>
      <c r="N146" s="338"/>
      <c r="O146" s="266"/>
      <c r="P146" s="338"/>
      <c r="Q146" s="266"/>
      <c r="R146" s="338">
        <f t="shared" si="37"/>
        <v>0</v>
      </c>
      <c r="S146" s="266">
        <f t="shared" si="38"/>
        <v>0</v>
      </c>
      <c r="T146" s="259"/>
      <c r="U146" s="197"/>
    </row>
    <row r="147" s="238" customFormat="1">
      <c r="A147" s="260" t="s">
        <v>528</v>
      </c>
      <c r="B147" s="356" t="s">
        <v>362</v>
      </c>
      <c r="C147" s="357" t="s">
        <v>354</v>
      </c>
      <c r="D147" s="358"/>
      <c r="E147" s="318">
        <f>E117-E132</f>
        <v>0.224</v>
      </c>
      <c r="F147" s="338"/>
      <c r="G147" s="266"/>
      <c r="H147" s="338"/>
      <c r="I147" s="266"/>
      <c r="J147" s="338"/>
      <c r="K147" s="266"/>
      <c r="L147" s="338"/>
      <c r="M147" s="266"/>
      <c r="N147" s="338"/>
      <c r="O147" s="266"/>
      <c r="P147" s="338"/>
      <c r="Q147" s="266"/>
      <c r="R147" s="338">
        <f t="shared" si="37"/>
        <v>0</v>
      </c>
      <c r="S147" s="266">
        <f t="shared" si="38"/>
        <v>0</v>
      </c>
      <c r="T147" s="259"/>
      <c r="U147" s="197"/>
    </row>
    <row r="148" s="238" customFormat="1">
      <c r="A148" s="260" t="s">
        <v>529</v>
      </c>
      <c r="B148" s="261" t="s">
        <v>364</v>
      </c>
      <c r="C148" s="262" t="s">
        <v>354</v>
      </c>
      <c r="D148" s="263"/>
      <c r="E148" s="318"/>
      <c r="F148" s="338"/>
      <c r="G148" s="266"/>
      <c r="H148" s="338"/>
      <c r="I148" s="266"/>
      <c r="J148" s="338"/>
      <c r="K148" s="266"/>
      <c r="L148" s="338"/>
      <c r="M148" s="266"/>
      <c r="N148" s="338"/>
      <c r="O148" s="266"/>
      <c r="P148" s="338"/>
      <c r="Q148" s="266"/>
      <c r="R148" s="338">
        <f t="shared" si="37"/>
        <v>0</v>
      </c>
      <c r="S148" s="266">
        <f t="shared" si="38"/>
        <v>0</v>
      </c>
      <c r="T148" s="259"/>
      <c r="U148" s="197"/>
    </row>
    <row r="149" s="238" customFormat="1">
      <c r="A149" s="260" t="s">
        <v>530</v>
      </c>
      <c r="B149" s="261" t="s">
        <v>366</v>
      </c>
      <c r="C149" s="262" t="s">
        <v>354</v>
      </c>
      <c r="D149" s="263"/>
      <c r="E149" s="318"/>
      <c r="F149" s="338"/>
      <c r="G149" s="266"/>
      <c r="H149" s="338"/>
      <c r="I149" s="266"/>
      <c r="J149" s="338"/>
      <c r="K149" s="266"/>
      <c r="L149" s="338"/>
      <c r="M149" s="266"/>
      <c r="N149" s="338"/>
      <c r="O149" s="266"/>
      <c r="P149" s="338"/>
      <c r="Q149" s="266"/>
      <c r="R149" s="338">
        <f t="shared" si="37"/>
        <v>0</v>
      </c>
      <c r="S149" s="266">
        <f t="shared" si="38"/>
        <v>0</v>
      </c>
      <c r="T149" s="259"/>
      <c r="U149" s="197"/>
    </row>
    <row r="150" s="238" customFormat="1">
      <c r="A150" s="260" t="s">
        <v>531</v>
      </c>
      <c r="B150" s="267" t="s">
        <v>368</v>
      </c>
      <c r="C150" s="262" t="s">
        <v>354</v>
      </c>
      <c r="D150" s="263"/>
      <c r="E150" s="318"/>
      <c r="F150" s="338"/>
      <c r="G150" s="266"/>
      <c r="H150" s="338"/>
      <c r="I150" s="266"/>
      <c r="J150" s="338"/>
      <c r="K150" s="266"/>
      <c r="L150" s="338"/>
      <c r="M150" s="266"/>
      <c r="N150" s="338"/>
      <c r="O150" s="266"/>
      <c r="P150" s="338"/>
      <c r="Q150" s="266"/>
      <c r="R150" s="338">
        <f t="shared" si="37"/>
        <v>0</v>
      </c>
      <c r="S150" s="266">
        <f t="shared" si="38"/>
        <v>0</v>
      </c>
      <c r="T150" s="259"/>
      <c r="U150" s="197"/>
    </row>
    <row r="151" s="238" customFormat="1">
      <c r="A151" s="260" t="s">
        <v>532</v>
      </c>
      <c r="B151" s="261" t="s">
        <v>370</v>
      </c>
      <c r="C151" s="262" t="s">
        <v>354</v>
      </c>
      <c r="D151" s="263"/>
      <c r="E151" s="318"/>
      <c r="F151" s="338"/>
      <c r="G151" s="266"/>
      <c r="H151" s="338"/>
      <c r="I151" s="266"/>
      <c r="J151" s="338"/>
      <c r="K151" s="266"/>
      <c r="L151" s="338"/>
      <c r="M151" s="266"/>
      <c r="N151" s="338"/>
      <c r="O151" s="266"/>
      <c r="P151" s="338"/>
      <c r="Q151" s="266"/>
      <c r="R151" s="338">
        <f t="shared" ref="R151" si="45">H151+J151+L151+N151+P151</f>
        <v>0</v>
      </c>
      <c r="S151" s="266">
        <f t="shared" ref="S151" si="46">I151+K151+M151+O151+Q151</f>
        <v>0</v>
      </c>
      <c r="T151" s="259"/>
      <c r="U151" s="197"/>
    </row>
    <row r="152" s="238" customFormat="1">
      <c r="A152" s="260" t="s">
        <v>533</v>
      </c>
      <c r="B152" s="261" t="s">
        <v>372</v>
      </c>
      <c r="C152" s="262" t="s">
        <v>354</v>
      </c>
      <c r="D152" s="263"/>
      <c r="E152" s="318"/>
      <c r="F152" s="338"/>
      <c r="G152" s="266"/>
      <c r="H152" s="338"/>
      <c r="I152" s="266"/>
      <c r="J152" s="338"/>
      <c r="K152" s="266"/>
      <c r="L152" s="338"/>
      <c r="M152" s="266"/>
      <c r="N152" s="338"/>
      <c r="O152" s="266"/>
      <c r="P152" s="338"/>
      <c r="Q152" s="266"/>
      <c r="R152" s="338">
        <f t="shared" ref="R152:R215" si="47">H152+J152+L152+N152+P152</f>
        <v>0</v>
      </c>
      <c r="S152" s="266">
        <f t="shared" ref="S152:S215" si="48">I152+K152+M152+O152+Q152</f>
        <v>0</v>
      </c>
      <c r="T152" s="259"/>
      <c r="U152" s="197"/>
    </row>
    <row r="153" s="238" customFormat="1">
      <c r="A153" s="269" t="s">
        <v>534</v>
      </c>
      <c r="B153" s="270" t="s">
        <v>374</v>
      </c>
      <c r="C153" s="271" t="s">
        <v>354</v>
      </c>
      <c r="D153" s="272"/>
      <c r="E153" s="320">
        <f>E123-E138</f>
        <v>-0.11399999999999992</v>
      </c>
      <c r="F153" s="339"/>
      <c r="G153" s="275"/>
      <c r="H153" s="339"/>
      <c r="I153" s="275"/>
      <c r="J153" s="339"/>
      <c r="K153" s="275"/>
      <c r="L153" s="339"/>
      <c r="M153" s="275"/>
      <c r="N153" s="339"/>
      <c r="O153" s="275"/>
      <c r="P153" s="339"/>
      <c r="Q153" s="275"/>
      <c r="R153" s="339">
        <f t="shared" si="47"/>
        <v>0</v>
      </c>
      <c r="S153" s="275">
        <f t="shared" si="48"/>
        <v>0</v>
      </c>
      <c r="T153" s="259"/>
      <c r="U153" s="197"/>
    </row>
    <row r="154" s="238" customFormat="1">
      <c r="A154" s="359" t="s">
        <v>535</v>
      </c>
      <c r="B154" s="360" t="s">
        <v>55</v>
      </c>
      <c r="C154" s="357" t="s">
        <v>354</v>
      </c>
      <c r="D154" s="361"/>
      <c r="E154" s="344"/>
      <c r="F154" s="345"/>
      <c r="G154" s="346"/>
      <c r="H154" s="345">
        <f t="shared" ref="H154:Q154" si="49">H155</f>
        <v>0.41700000000000159</v>
      </c>
      <c r="I154" s="346">
        <f t="shared" si="49"/>
        <v>0.41700000000000159</v>
      </c>
      <c r="J154" s="345">
        <f t="shared" si="49"/>
        <v>0.96699999999999997</v>
      </c>
      <c r="K154" s="346">
        <f t="shared" si="49"/>
        <v>0.96699999999999997</v>
      </c>
      <c r="L154" s="345">
        <f t="shared" si="49"/>
        <v>0.98499999999999999</v>
      </c>
      <c r="M154" s="346">
        <f t="shared" si="49"/>
        <v>0.98499999999999999</v>
      </c>
      <c r="N154" s="345">
        <f t="shared" si="49"/>
        <v>1.0029999999999999</v>
      </c>
      <c r="O154" s="346">
        <f t="shared" si="49"/>
        <v>2.8759999999999999</v>
      </c>
      <c r="P154" s="345">
        <f t="shared" si="49"/>
        <v>0.988398</v>
      </c>
      <c r="Q154" s="346">
        <f t="shared" si="49"/>
        <v>2.7977479999999999</v>
      </c>
      <c r="R154" s="345">
        <f t="shared" si="47"/>
        <v>4.3603980000000018</v>
      </c>
      <c r="S154" s="346">
        <f t="shared" si="48"/>
        <v>8.0427480000000013</v>
      </c>
      <c r="T154" s="259"/>
      <c r="U154" s="197"/>
    </row>
    <row r="155" s="238" customFormat="1">
      <c r="A155" s="260" t="s">
        <v>536</v>
      </c>
      <c r="B155" s="289" t="s">
        <v>537</v>
      </c>
      <c r="C155" s="262" t="s">
        <v>354</v>
      </c>
      <c r="D155" s="263"/>
      <c r="E155" s="318"/>
      <c r="F155" s="338"/>
      <c r="G155" s="266"/>
      <c r="H155" s="338">
        <f>H139</f>
        <v>0.41700000000000159</v>
      </c>
      <c r="I155" s="266">
        <f>H155</f>
        <v>0.41700000000000159</v>
      </c>
      <c r="J155" s="266">
        <v>0.96699999999999997</v>
      </c>
      <c r="K155" s="266">
        <v>0.96699999999999997</v>
      </c>
      <c r="L155" s="266">
        <v>0.98499999999999999</v>
      </c>
      <c r="M155" s="266">
        <v>0.98499999999999999</v>
      </c>
      <c r="N155" s="266">
        <v>1.0029999999999999</v>
      </c>
      <c r="O155" s="266">
        <v>2.8759999999999999</v>
      </c>
      <c r="P155" s="266">
        <v>0.988398</v>
      </c>
      <c r="Q155" s="266">
        <v>2.7977479999999999</v>
      </c>
      <c r="R155" s="338">
        <f t="shared" si="47"/>
        <v>4.3603980000000018</v>
      </c>
      <c r="S155" s="266">
        <f t="shared" si="48"/>
        <v>8.0427480000000013</v>
      </c>
      <c r="T155" s="259"/>
      <c r="U155" s="197"/>
    </row>
    <row r="156" s="238" customFormat="1">
      <c r="A156" s="260" t="s">
        <v>538</v>
      </c>
      <c r="B156" s="289" t="s">
        <v>57</v>
      </c>
      <c r="C156" s="262" t="s">
        <v>354</v>
      </c>
      <c r="D156" s="263"/>
      <c r="E156" s="318"/>
      <c r="F156" s="338"/>
      <c r="G156" s="266"/>
      <c r="H156" s="338"/>
      <c r="I156" s="266"/>
      <c r="J156" s="338"/>
      <c r="K156" s="266"/>
      <c r="L156" s="338"/>
      <c r="M156" s="266"/>
      <c r="N156" s="338"/>
      <c r="O156" s="266"/>
      <c r="P156" s="338"/>
      <c r="Q156" s="266"/>
      <c r="R156" s="338">
        <f t="shared" si="47"/>
        <v>0</v>
      </c>
      <c r="S156" s="266">
        <f t="shared" si="48"/>
        <v>0</v>
      </c>
      <c r="T156" s="259"/>
      <c r="U156" s="197"/>
    </row>
    <row r="157" s="238" customFormat="1">
      <c r="A157" s="260" t="s">
        <v>539</v>
      </c>
      <c r="B157" s="289" t="s">
        <v>58</v>
      </c>
      <c r="C157" s="262" t="s">
        <v>354</v>
      </c>
      <c r="D157" s="263"/>
      <c r="E157" s="318"/>
      <c r="F157" s="338"/>
      <c r="G157" s="266"/>
      <c r="H157" s="338"/>
      <c r="I157" s="266"/>
      <c r="J157" s="338"/>
      <c r="K157" s="266"/>
      <c r="L157" s="338"/>
      <c r="M157" s="266"/>
      <c r="N157" s="338"/>
      <c r="O157" s="266"/>
      <c r="P157" s="338"/>
      <c r="Q157" s="266"/>
      <c r="R157" s="338">
        <f t="shared" si="47"/>
        <v>0</v>
      </c>
      <c r="S157" s="266">
        <f t="shared" si="48"/>
        <v>0</v>
      </c>
      <c r="T157" s="259"/>
      <c r="U157" s="197"/>
    </row>
    <row r="158" s="238" customFormat="1" ht="18" customHeight="1">
      <c r="A158" s="269" t="s">
        <v>540</v>
      </c>
      <c r="B158" s="362" t="s">
        <v>541</v>
      </c>
      <c r="C158" s="271" t="s">
        <v>354</v>
      </c>
      <c r="D158" s="272"/>
      <c r="E158" s="320"/>
      <c r="F158" s="339"/>
      <c r="G158" s="275"/>
      <c r="H158" s="339"/>
      <c r="I158" s="275"/>
      <c r="J158" s="339"/>
      <c r="K158" s="275"/>
      <c r="L158" s="339"/>
      <c r="M158" s="275"/>
      <c r="N158" s="339"/>
      <c r="O158" s="275"/>
      <c r="P158" s="339"/>
      <c r="Q158" s="275"/>
      <c r="R158" s="339">
        <f t="shared" si="47"/>
        <v>0</v>
      </c>
      <c r="S158" s="275">
        <f t="shared" si="48"/>
        <v>0</v>
      </c>
      <c r="T158" s="259"/>
      <c r="U158" s="197"/>
    </row>
    <row r="159" s="238" customFormat="1" ht="18" customHeight="1">
      <c r="A159" s="340" t="s">
        <v>542</v>
      </c>
      <c r="B159" s="341" t="s">
        <v>430</v>
      </c>
      <c r="C159" s="342" t="s">
        <v>66</v>
      </c>
      <c r="D159" s="363"/>
      <c r="E159" s="344"/>
      <c r="F159" s="345"/>
      <c r="G159" s="346"/>
      <c r="H159" s="345"/>
      <c r="I159" s="346"/>
      <c r="J159" s="345"/>
      <c r="K159" s="346"/>
      <c r="L159" s="345"/>
      <c r="M159" s="346"/>
      <c r="N159" s="345"/>
      <c r="O159" s="346"/>
      <c r="P159" s="345"/>
      <c r="Q159" s="346"/>
      <c r="R159" s="345">
        <f t="shared" si="47"/>
        <v>0</v>
      </c>
      <c r="S159" s="346">
        <f t="shared" si="48"/>
        <v>0</v>
      </c>
      <c r="T159" s="259"/>
      <c r="U159" s="197"/>
    </row>
    <row r="160" s="238" customFormat="1" ht="37.5" customHeight="1">
      <c r="A160" s="282" t="s">
        <v>543</v>
      </c>
      <c r="B160" s="335" t="s">
        <v>544</v>
      </c>
      <c r="C160" s="284" t="s">
        <v>354</v>
      </c>
      <c r="D160" s="281"/>
      <c r="E160" s="325">
        <f t="shared" ref="E160:P160" si="50">E109-E105-E69</f>
        <v>-3.1580000000000004</v>
      </c>
      <c r="F160" s="364">
        <f t="shared" si="50"/>
        <v>0</v>
      </c>
      <c r="G160" s="287">
        <f t="shared" si="50"/>
        <v>0</v>
      </c>
      <c r="H160" s="364">
        <f t="shared" si="50"/>
        <v>0.41700000000000159</v>
      </c>
      <c r="I160" s="287">
        <f t="shared" si="50"/>
        <v>0.41700000000000159</v>
      </c>
      <c r="J160" s="364">
        <f t="shared" si="50"/>
        <v>0.39699999999999847</v>
      </c>
      <c r="K160" s="287">
        <f t="shared" si="50"/>
        <v>0.39699999999999847</v>
      </c>
      <c r="L160" s="364">
        <f t="shared" si="50"/>
        <v>0.97769999999999513</v>
      </c>
      <c r="M160" s="287">
        <f t="shared" si="50"/>
        <v>0.97769999999999513</v>
      </c>
      <c r="N160" s="364">
        <f t="shared" si="50"/>
        <v>1.6822335999999893</v>
      </c>
      <c r="O160" s="287">
        <f t="shared" si="50"/>
        <v>1.6822335999999893</v>
      </c>
      <c r="P160" s="364">
        <f t="shared" si="50"/>
        <v>0.6132053439999865</v>
      </c>
      <c r="Q160" s="287">
        <f>Q109-Q105-Q69</f>
        <v>0.6132053439999865</v>
      </c>
      <c r="R160" s="364">
        <f t="shared" si="47"/>
        <v>4.087138943999971</v>
      </c>
      <c r="S160" s="287">
        <f t="shared" si="48"/>
        <v>4.087138943999971</v>
      </c>
      <c r="T160" s="259"/>
      <c r="U160" s="197"/>
    </row>
    <row r="161" s="238" customFormat="1" ht="18" customHeight="1">
      <c r="A161" s="260" t="s">
        <v>545</v>
      </c>
      <c r="B161" s="289" t="s">
        <v>546</v>
      </c>
      <c r="C161" s="262" t="s">
        <v>354</v>
      </c>
      <c r="D161" s="263"/>
      <c r="E161" s="318"/>
      <c r="F161" s="338"/>
      <c r="G161" s="266"/>
      <c r="H161" s="338"/>
      <c r="I161" s="266"/>
      <c r="J161" s="338"/>
      <c r="K161" s="266"/>
      <c r="L161" s="338"/>
      <c r="M161" s="266"/>
      <c r="N161" s="338"/>
      <c r="O161" s="266"/>
      <c r="P161" s="338"/>
      <c r="Q161" s="266"/>
      <c r="R161" s="338">
        <f t="shared" si="47"/>
        <v>0</v>
      </c>
      <c r="S161" s="266">
        <f t="shared" si="48"/>
        <v>0</v>
      </c>
      <c r="T161" s="259"/>
      <c r="U161" s="197"/>
    </row>
    <row r="162" s="238" customFormat="1" ht="18" customHeight="1">
      <c r="A162" s="260" t="s">
        <v>547</v>
      </c>
      <c r="B162" s="267" t="s">
        <v>548</v>
      </c>
      <c r="C162" s="262" t="s">
        <v>354</v>
      </c>
      <c r="D162" s="263"/>
      <c r="E162" s="318"/>
      <c r="F162" s="338"/>
      <c r="G162" s="266"/>
      <c r="H162" s="338"/>
      <c r="I162" s="266"/>
      <c r="J162" s="338"/>
      <c r="K162" s="266"/>
      <c r="L162" s="338"/>
      <c r="M162" s="266"/>
      <c r="N162" s="338"/>
      <c r="O162" s="266"/>
      <c r="P162" s="338"/>
      <c r="Q162" s="266"/>
      <c r="R162" s="338">
        <f t="shared" si="47"/>
        <v>0</v>
      </c>
      <c r="S162" s="266">
        <f t="shared" si="48"/>
        <v>0</v>
      </c>
      <c r="T162" s="259"/>
      <c r="U162" s="197"/>
    </row>
    <row r="163" s="238" customFormat="1" ht="18" customHeight="1">
      <c r="A163" s="260" t="s">
        <v>549</v>
      </c>
      <c r="B163" s="289" t="s">
        <v>550</v>
      </c>
      <c r="C163" s="262" t="s">
        <v>354</v>
      </c>
      <c r="D163" s="263"/>
      <c r="E163" s="318"/>
      <c r="F163" s="338"/>
      <c r="G163" s="266"/>
      <c r="H163" s="338"/>
      <c r="I163" s="266"/>
      <c r="J163" s="338"/>
      <c r="K163" s="266"/>
      <c r="L163" s="338"/>
      <c r="M163" s="266"/>
      <c r="N163" s="338"/>
      <c r="O163" s="266"/>
      <c r="P163" s="338"/>
      <c r="Q163" s="266"/>
      <c r="R163" s="338">
        <f t="shared" si="47"/>
        <v>0</v>
      </c>
      <c r="S163" s="266">
        <f t="shared" si="48"/>
        <v>0</v>
      </c>
      <c r="T163" s="259"/>
      <c r="U163" s="197"/>
    </row>
    <row r="164" s="238" customFormat="1" ht="18" customHeight="1">
      <c r="A164" s="290" t="s">
        <v>551</v>
      </c>
      <c r="B164" s="267" t="s">
        <v>552</v>
      </c>
      <c r="C164" s="262" t="s">
        <v>354</v>
      </c>
      <c r="D164" s="263"/>
      <c r="E164" s="318"/>
      <c r="F164" s="338"/>
      <c r="G164" s="266"/>
      <c r="H164" s="338"/>
      <c r="I164" s="266"/>
      <c r="J164" s="338"/>
      <c r="K164" s="266"/>
      <c r="L164" s="338"/>
      <c r="M164" s="266"/>
      <c r="N164" s="338"/>
      <c r="O164" s="266"/>
      <c r="P164" s="338"/>
      <c r="Q164" s="266"/>
      <c r="R164" s="338">
        <f t="shared" si="47"/>
        <v>0</v>
      </c>
      <c r="S164" s="266">
        <f t="shared" si="48"/>
        <v>0</v>
      </c>
      <c r="T164" s="259"/>
      <c r="U164" s="197"/>
    </row>
    <row r="165" s="238" customFormat="1">
      <c r="A165" s="269" t="s">
        <v>553</v>
      </c>
      <c r="B165" s="362" t="s">
        <v>554</v>
      </c>
      <c r="C165" s="271" t="s">
        <v>66</v>
      </c>
      <c r="D165" s="365"/>
      <c r="E165" s="320"/>
      <c r="F165" s="339"/>
      <c r="G165" s="275"/>
      <c r="H165" s="339"/>
      <c r="I165" s="275"/>
      <c r="J165" s="339"/>
      <c r="K165" s="275"/>
      <c r="L165" s="339"/>
      <c r="M165" s="275"/>
      <c r="N165" s="339"/>
      <c r="O165" s="275"/>
      <c r="P165" s="339"/>
      <c r="Q165" s="275"/>
      <c r="R165" s="339">
        <f t="shared" si="47"/>
        <v>0</v>
      </c>
      <c r="S165" s="275">
        <f t="shared" si="48"/>
        <v>0</v>
      </c>
      <c r="T165" s="259"/>
      <c r="U165" s="197"/>
    </row>
    <row r="166" s="238" customFormat="1">
      <c r="A166" s="366" t="s">
        <v>555</v>
      </c>
      <c r="B166" s="367"/>
      <c r="C166" s="367"/>
      <c r="D166" s="367"/>
      <c r="E166" s="367"/>
      <c r="F166" s="367"/>
      <c r="G166" s="367"/>
      <c r="H166" s="367"/>
      <c r="I166" s="367"/>
      <c r="J166" s="367"/>
      <c r="K166" s="367"/>
      <c r="L166" s="367"/>
      <c r="M166" s="367"/>
      <c r="N166" s="367"/>
      <c r="O166" s="367"/>
      <c r="P166" s="367"/>
      <c r="Q166" s="367"/>
      <c r="R166" s="367"/>
      <c r="S166" s="368"/>
      <c r="T166" s="251"/>
      <c r="U166" s="197"/>
    </row>
    <row r="167" s="238" customFormat="1" ht="31.5" customHeight="1">
      <c r="A167" s="252" t="s">
        <v>556</v>
      </c>
      <c r="B167" s="253" t="s">
        <v>557</v>
      </c>
      <c r="C167" s="254" t="s">
        <v>354</v>
      </c>
      <c r="D167" s="369"/>
      <c r="E167" s="370">
        <f t="shared" ref="E167:Q167" si="51">E168+E172+E173+E174+E175+E176+E177+E178+E181+E184</f>
        <v>12.092000000000001</v>
      </c>
      <c r="F167" s="371">
        <f t="shared" si="51"/>
        <v>12.078200000000001</v>
      </c>
      <c r="G167" s="372">
        <f t="shared" si="51"/>
        <v>0</v>
      </c>
      <c r="H167" s="371">
        <f t="shared" si="51"/>
        <v>19.052</v>
      </c>
      <c r="I167" s="372">
        <f t="shared" si="51"/>
        <v>19.052</v>
      </c>
      <c r="J167" s="371">
        <f t="shared" si="51"/>
        <v>19.795099999999998</v>
      </c>
      <c r="K167" s="372">
        <f t="shared" si="51"/>
        <v>19.795099999999998</v>
      </c>
      <c r="L167" s="371">
        <f t="shared" si="51"/>
        <v>26.134799999999998</v>
      </c>
      <c r="M167" s="372">
        <f t="shared" si="51"/>
        <v>26.134799999999998</v>
      </c>
      <c r="N167" s="371">
        <f t="shared" si="51"/>
        <v>41.927039999999991</v>
      </c>
      <c r="O167" s="372">
        <f t="shared" si="51"/>
        <v>41.927039999999991</v>
      </c>
      <c r="P167" s="371">
        <f t="shared" si="51"/>
        <v>41.927039999999991</v>
      </c>
      <c r="Q167" s="372">
        <f t="shared" si="51"/>
        <v>41.927039999999991</v>
      </c>
      <c r="R167" s="371">
        <f t="shared" si="47"/>
        <v>148.83597999999998</v>
      </c>
      <c r="S167" s="372">
        <f t="shared" si="48"/>
        <v>148.83597999999998</v>
      </c>
      <c r="T167" s="259"/>
      <c r="U167" s="197"/>
    </row>
    <row r="168" s="238" customFormat="1">
      <c r="A168" s="260" t="s">
        <v>558</v>
      </c>
      <c r="B168" s="261" t="s">
        <v>355</v>
      </c>
      <c r="C168" s="262" t="s">
        <v>354</v>
      </c>
      <c r="D168" s="263"/>
      <c r="E168" s="318"/>
      <c r="F168" s="373"/>
      <c r="G168" s="374"/>
      <c r="H168" s="373"/>
      <c r="I168" s="374"/>
      <c r="J168" s="373"/>
      <c r="K168" s="374"/>
      <c r="L168" s="373"/>
      <c r="M168" s="374"/>
      <c r="N168" s="373"/>
      <c r="O168" s="374"/>
      <c r="P168" s="373"/>
      <c r="Q168" s="374"/>
      <c r="R168" s="373">
        <f t="shared" si="47"/>
        <v>0</v>
      </c>
      <c r="S168" s="374">
        <f t="shared" si="48"/>
        <v>0</v>
      </c>
      <c r="T168" s="259"/>
      <c r="U168" s="197"/>
    </row>
    <row r="169" s="238" customFormat="1">
      <c r="A169" s="260" t="s">
        <v>559</v>
      </c>
      <c r="B169" s="267" t="s">
        <v>356</v>
      </c>
      <c r="C169" s="262" t="s">
        <v>354</v>
      </c>
      <c r="D169" s="263"/>
      <c r="E169" s="318"/>
      <c r="F169" s="373"/>
      <c r="G169" s="374"/>
      <c r="H169" s="373"/>
      <c r="I169" s="374"/>
      <c r="J169" s="373"/>
      <c r="K169" s="374"/>
      <c r="L169" s="373"/>
      <c r="M169" s="374"/>
      <c r="N169" s="373"/>
      <c r="O169" s="374"/>
      <c r="P169" s="373"/>
      <c r="Q169" s="374"/>
      <c r="R169" s="373">
        <f t="shared" si="47"/>
        <v>0</v>
      </c>
      <c r="S169" s="374">
        <f t="shared" si="48"/>
        <v>0</v>
      </c>
      <c r="T169" s="259"/>
      <c r="U169" s="197"/>
    </row>
    <row r="170" s="238" customFormat="1">
      <c r="A170" s="260" t="s">
        <v>560</v>
      </c>
      <c r="B170" s="267" t="s">
        <v>357</v>
      </c>
      <c r="C170" s="262" t="s">
        <v>354</v>
      </c>
      <c r="D170" s="263"/>
      <c r="E170" s="318"/>
      <c r="F170" s="373"/>
      <c r="G170" s="374"/>
      <c r="H170" s="373"/>
      <c r="I170" s="374"/>
      <c r="J170" s="373"/>
      <c r="K170" s="374"/>
      <c r="L170" s="373"/>
      <c r="M170" s="374"/>
      <c r="N170" s="373"/>
      <c r="O170" s="374"/>
      <c r="P170" s="373"/>
      <c r="Q170" s="374"/>
      <c r="R170" s="373">
        <f t="shared" si="47"/>
        <v>0</v>
      </c>
      <c r="S170" s="374">
        <f t="shared" si="48"/>
        <v>0</v>
      </c>
      <c r="T170" s="259"/>
      <c r="U170" s="197"/>
    </row>
    <row r="171" s="238" customFormat="1">
      <c r="A171" s="260" t="s">
        <v>561</v>
      </c>
      <c r="B171" s="267" t="s">
        <v>358</v>
      </c>
      <c r="C171" s="262" t="s">
        <v>354</v>
      </c>
      <c r="D171" s="263"/>
      <c r="E171" s="318"/>
      <c r="F171" s="373"/>
      <c r="G171" s="374"/>
      <c r="H171" s="373"/>
      <c r="I171" s="374"/>
      <c r="J171" s="373"/>
      <c r="K171" s="374"/>
      <c r="L171" s="373"/>
      <c r="M171" s="374"/>
      <c r="N171" s="373"/>
      <c r="O171" s="374"/>
      <c r="P171" s="373"/>
      <c r="Q171" s="374"/>
      <c r="R171" s="373">
        <f t="shared" si="47"/>
        <v>0</v>
      </c>
      <c r="S171" s="374">
        <f t="shared" si="48"/>
        <v>0</v>
      </c>
      <c r="T171" s="259"/>
      <c r="U171" s="197"/>
    </row>
    <row r="172" s="238" customFormat="1">
      <c r="A172" s="260" t="s">
        <v>562</v>
      </c>
      <c r="B172" s="261" t="s">
        <v>359</v>
      </c>
      <c r="C172" s="262" t="s">
        <v>354</v>
      </c>
      <c r="D172" s="263"/>
      <c r="E172" s="318"/>
      <c r="F172" s="373"/>
      <c r="G172" s="374"/>
      <c r="H172" s="373"/>
      <c r="I172" s="374"/>
      <c r="J172" s="373"/>
      <c r="K172" s="374"/>
      <c r="L172" s="373"/>
      <c r="M172" s="374"/>
      <c r="N172" s="373"/>
      <c r="O172" s="374"/>
      <c r="P172" s="373"/>
      <c r="Q172" s="374"/>
      <c r="R172" s="373">
        <f t="shared" si="47"/>
        <v>0</v>
      </c>
      <c r="S172" s="374">
        <f t="shared" si="48"/>
        <v>0</v>
      </c>
      <c r="T172" s="259"/>
      <c r="U172" s="197"/>
    </row>
    <row r="173" s="238" customFormat="1">
      <c r="A173" s="260" t="s">
        <v>563</v>
      </c>
      <c r="B173" s="261" t="s">
        <v>360</v>
      </c>
      <c r="C173" s="262" t="s">
        <v>354</v>
      </c>
      <c r="D173" s="375"/>
      <c r="E173" s="376">
        <f>E29</f>
        <v>10.709</v>
      </c>
      <c r="F173" s="373">
        <f>F29</f>
        <v>12.078200000000001</v>
      </c>
      <c r="G173" s="374"/>
      <c r="H173" s="373">
        <f t="shared" ref="H173:Q173" si="52">H29</f>
        <v>19.052</v>
      </c>
      <c r="I173" s="374">
        <f t="shared" si="52"/>
        <v>19.052</v>
      </c>
      <c r="J173" s="373">
        <f t="shared" si="52"/>
        <v>19.795099999999998</v>
      </c>
      <c r="K173" s="374">
        <f t="shared" si="52"/>
        <v>19.795099999999998</v>
      </c>
      <c r="L173" s="373">
        <f t="shared" si="52"/>
        <v>26.134799999999998</v>
      </c>
      <c r="M173" s="374">
        <f t="shared" si="52"/>
        <v>26.134799999999998</v>
      </c>
      <c r="N173" s="373">
        <f t="shared" si="52"/>
        <v>41.927039999999991</v>
      </c>
      <c r="O173" s="374">
        <f t="shared" si="52"/>
        <v>41.927039999999991</v>
      </c>
      <c r="P173" s="373">
        <f t="shared" si="52"/>
        <v>41.927039999999991</v>
      </c>
      <c r="Q173" s="374">
        <f t="shared" si="52"/>
        <v>41.927039999999991</v>
      </c>
      <c r="R173" s="373">
        <f t="shared" si="47"/>
        <v>148.83597999999998</v>
      </c>
      <c r="S173" s="374">
        <f t="shared" si="48"/>
        <v>148.83597999999998</v>
      </c>
      <c r="T173" s="259"/>
      <c r="U173" s="197"/>
    </row>
    <row r="174" s="238" customFormat="1">
      <c r="A174" s="260" t="s">
        <v>564</v>
      </c>
      <c r="B174" s="261" t="s">
        <v>361</v>
      </c>
      <c r="C174" s="262" t="s">
        <v>354</v>
      </c>
      <c r="D174" s="263"/>
      <c r="E174" s="318"/>
      <c r="F174" s="373"/>
      <c r="G174" s="374"/>
      <c r="H174" s="373"/>
      <c r="I174" s="374"/>
      <c r="J174" s="373"/>
      <c r="K174" s="374"/>
      <c r="L174" s="373"/>
      <c r="M174" s="374"/>
      <c r="N174" s="373"/>
      <c r="O174" s="374"/>
      <c r="P174" s="373"/>
      <c r="Q174" s="374"/>
      <c r="R174" s="373">
        <f t="shared" si="47"/>
        <v>0</v>
      </c>
      <c r="S174" s="374">
        <f t="shared" si="48"/>
        <v>0</v>
      </c>
      <c r="T174" s="259"/>
      <c r="U174" s="197"/>
    </row>
    <row r="175" s="238" customFormat="1">
      <c r="A175" s="260" t="s">
        <v>565</v>
      </c>
      <c r="B175" s="261" t="s">
        <v>362</v>
      </c>
      <c r="C175" s="262" t="s">
        <v>354</v>
      </c>
      <c r="D175" s="375"/>
      <c r="E175" s="376">
        <f>E31</f>
        <v>0.22600000000000001</v>
      </c>
      <c r="F175" s="373"/>
      <c r="G175" s="374"/>
      <c r="H175" s="373"/>
      <c r="I175" s="374"/>
      <c r="J175" s="373"/>
      <c r="K175" s="374"/>
      <c r="L175" s="373"/>
      <c r="M175" s="374"/>
      <c r="N175" s="373"/>
      <c r="O175" s="374"/>
      <c r="P175" s="373"/>
      <c r="Q175" s="374"/>
      <c r="R175" s="373">
        <f t="shared" si="47"/>
        <v>0</v>
      </c>
      <c r="S175" s="374">
        <f t="shared" si="48"/>
        <v>0</v>
      </c>
      <c r="T175" s="259"/>
      <c r="U175" s="197"/>
    </row>
    <row r="176" s="238" customFormat="1">
      <c r="A176" s="260" t="s">
        <v>566</v>
      </c>
      <c r="B176" s="261" t="s">
        <v>364</v>
      </c>
      <c r="C176" s="262" t="s">
        <v>354</v>
      </c>
      <c r="D176" s="263"/>
      <c r="E176" s="318"/>
      <c r="F176" s="373"/>
      <c r="G176" s="374"/>
      <c r="H176" s="373"/>
      <c r="I176" s="374"/>
      <c r="J176" s="373"/>
      <c r="K176" s="374"/>
      <c r="L176" s="373"/>
      <c r="M176" s="374"/>
      <c r="N176" s="373"/>
      <c r="O176" s="374"/>
      <c r="P176" s="373"/>
      <c r="Q176" s="374"/>
      <c r="R176" s="373">
        <f t="shared" si="47"/>
        <v>0</v>
      </c>
      <c r="S176" s="374">
        <f t="shared" si="48"/>
        <v>0</v>
      </c>
      <c r="T176" s="259"/>
      <c r="U176" s="197"/>
    </row>
    <row r="177" s="238" customFormat="1">
      <c r="A177" s="260" t="s">
        <v>567</v>
      </c>
      <c r="B177" s="261" t="s">
        <v>366</v>
      </c>
      <c r="C177" s="262" t="s">
        <v>354</v>
      </c>
      <c r="D177" s="263"/>
      <c r="E177" s="318"/>
      <c r="F177" s="373"/>
      <c r="G177" s="374"/>
      <c r="H177" s="373"/>
      <c r="I177" s="374"/>
      <c r="J177" s="373"/>
      <c r="K177" s="374"/>
      <c r="L177" s="373"/>
      <c r="M177" s="374"/>
      <c r="N177" s="373"/>
      <c r="O177" s="374"/>
      <c r="P177" s="373"/>
      <c r="Q177" s="374"/>
      <c r="R177" s="373">
        <f t="shared" si="47"/>
        <v>0</v>
      </c>
      <c r="S177" s="374">
        <f t="shared" si="48"/>
        <v>0</v>
      </c>
      <c r="T177" s="259"/>
      <c r="U177" s="197"/>
    </row>
    <row r="178" s="238" customFormat="1">
      <c r="A178" s="260" t="s">
        <v>568</v>
      </c>
      <c r="B178" s="267" t="s">
        <v>368</v>
      </c>
      <c r="C178" s="262" t="s">
        <v>354</v>
      </c>
      <c r="D178" s="263"/>
      <c r="E178" s="318"/>
      <c r="F178" s="373"/>
      <c r="G178" s="374"/>
      <c r="H178" s="373"/>
      <c r="I178" s="374"/>
      <c r="J178" s="373"/>
      <c r="K178" s="374"/>
      <c r="L178" s="373"/>
      <c r="M178" s="374"/>
      <c r="N178" s="373"/>
      <c r="O178" s="374"/>
      <c r="P178" s="373"/>
      <c r="Q178" s="374"/>
      <c r="R178" s="373">
        <f t="shared" si="47"/>
        <v>0</v>
      </c>
      <c r="S178" s="374">
        <f t="shared" si="48"/>
        <v>0</v>
      </c>
      <c r="T178" s="259"/>
      <c r="U178" s="197"/>
    </row>
    <row r="179" s="238" customFormat="1">
      <c r="A179" s="260" t="s">
        <v>569</v>
      </c>
      <c r="B179" s="261" t="s">
        <v>370</v>
      </c>
      <c r="C179" s="262" t="s">
        <v>354</v>
      </c>
      <c r="D179" s="263"/>
      <c r="E179" s="318"/>
      <c r="F179" s="373"/>
      <c r="G179" s="374"/>
      <c r="H179" s="373"/>
      <c r="I179" s="374"/>
      <c r="J179" s="373"/>
      <c r="K179" s="374"/>
      <c r="L179" s="373"/>
      <c r="M179" s="374"/>
      <c r="N179" s="373"/>
      <c r="O179" s="374"/>
      <c r="P179" s="373"/>
      <c r="Q179" s="374"/>
      <c r="R179" s="373">
        <f t="shared" si="47"/>
        <v>0</v>
      </c>
      <c r="S179" s="374">
        <f t="shared" si="48"/>
        <v>0</v>
      </c>
      <c r="T179" s="259"/>
      <c r="U179" s="197"/>
    </row>
    <row r="180" s="238" customFormat="1">
      <c r="A180" s="260" t="s">
        <v>570</v>
      </c>
      <c r="B180" s="261" t="s">
        <v>372</v>
      </c>
      <c r="C180" s="262" t="s">
        <v>354</v>
      </c>
      <c r="D180" s="263"/>
      <c r="E180" s="318"/>
      <c r="F180" s="373"/>
      <c r="G180" s="374"/>
      <c r="H180" s="373"/>
      <c r="I180" s="374"/>
      <c r="J180" s="373"/>
      <c r="K180" s="374"/>
      <c r="L180" s="373"/>
      <c r="M180" s="374"/>
      <c r="N180" s="373"/>
      <c r="O180" s="374"/>
      <c r="P180" s="373"/>
      <c r="Q180" s="374"/>
      <c r="R180" s="373">
        <f t="shared" si="47"/>
        <v>0</v>
      </c>
      <c r="S180" s="374">
        <f t="shared" si="48"/>
        <v>0</v>
      </c>
      <c r="T180" s="259"/>
      <c r="U180" s="197"/>
    </row>
    <row r="181" s="238" customFormat="1">
      <c r="A181" s="260" t="s">
        <v>571</v>
      </c>
      <c r="B181" s="289" t="s">
        <v>572</v>
      </c>
      <c r="C181" s="262" t="s">
        <v>354</v>
      </c>
      <c r="D181" s="263"/>
      <c r="E181" s="318"/>
      <c r="F181" s="373"/>
      <c r="G181" s="374"/>
      <c r="H181" s="373"/>
      <c r="I181" s="374"/>
      <c r="J181" s="373"/>
      <c r="K181" s="374"/>
      <c r="L181" s="373"/>
      <c r="M181" s="374"/>
      <c r="N181" s="373"/>
      <c r="O181" s="374"/>
      <c r="P181" s="373"/>
      <c r="Q181" s="374"/>
      <c r="R181" s="373">
        <f t="shared" si="47"/>
        <v>0</v>
      </c>
      <c r="S181" s="374">
        <f t="shared" si="48"/>
        <v>0</v>
      </c>
      <c r="T181" s="259"/>
      <c r="U181" s="197"/>
    </row>
    <row r="182" s="238" customFormat="1">
      <c r="A182" s="260" t="s">
        <v>573</v>
      </c>
      <c r="B182" s="267" t="s">
        <v>574</v>
      </c>
      <c r="C182" s="262" t="s">
        <v>354</v>
      </c>
      <c r="D182" s="263"/>
      <c r="E182" s="318"/>
      <c r="F182" s="373"/>
      <c r="G182" s="374"/>
      <c r="H182" s="373"/>
      <c r="I182" s="374"/>
      <c r="J182" s="373"/>
      <c r="K182" s="374"/>
      <c r="L182" s="373"/>
      <c r="M182" s="374"/>
      <c r="N182" s="373"/>
      <c r="O182" s="374"/>
      <c r="P182" s="373"/>
      <c r="Q182" s="374"/>
      <c r="R182" s="373">
        <f t="shared" si="47"/>
        <v>0</v>
      </c>
      <c r="S182" s="374">
        <f t="shared" si="48"/>
        <v>0</v>
      </c>
      <c r="T182" s="259"/>
      <c r="U182" s="197"/>
    </row>
    <row r="183" s="238" customFormat="1">
      <c r="A183" s="260" t="s">
        <v>575</v>
      </c>
      <c r="B183" s="267" t="s">
        <v>576</v>
      </c>
      <c r="C183" s="262" t="s">
        <v>354</v>
      </c>
      <c r="D183" s="263"/>
      <c r="E183" s="318"/>
      <c r="F183" s="373"/>
      <c r="G183" s="374"/>
      <c r="H183" s="373"/>
      <c r="I183" s="374"/>
      <c r="J183" s="373"/>
      <c r="K183" s="374"/>
      <c r="L183" s="373"/>
      <c r="M183" s="374"/>
      <c r="N183" s="373"/>
      <c r="O183" s="374"/>
      <c r="P183" s="373"/>
      <c r="Q183" s="374"/>
      <c r="R183" s="373">
        <f t="shared" si="47"/>
        <v>0</v>
      </c>
      <c r="S183" s="374">
        <f t="shared" si="48"/>
        <v>0</v>
      </c>
      <c r="T183" s="259"/>
      <c r="U183" s="197"/>
    </row>
    <row r="184" s="238" customFormat="1">
      <c r="A184" s="269" t="s">
        <v>577</v>
      </c>
      <c r="B184" s="270" t="s">
        <v>374</v>
      </c>
      <c r="C184" s="271" t="s">
        <v>354</v>
      </c>
      <c r="D184" s="272"/>
      <c r="E184" s="377">
        <f>E37</f>
        <v>1.157</v>
      </c>
      <c r="F184" s="378"/>
      <c r="G184" s="379"/>
      <c r="H184" s="378"/>
      <c r="I184" s="379"/>
      <c r="J184" s="378"/>
      <c r="K184" s="379"/>
      <c r="L184" s="378"/>
      <c r="M184" s="379"/>
      <c r="N184" s="378"/>
      <c r="O184" s="379"/>
      <c r="P184" s="378"/>
      <c r="Q184" s="379"/>
      <c r="R184" s="378">
        <f t="shared" si="47"/>
        <v>0</v>
      </c>
      <c r="S184" s="379">
        <f t="shared" si="48"/>
        <v>0</v>
      </c>
      <c r="T184" s="259"/>
      <c r="U184" s="197"/>
    </row>
    <row r="185" s="238" customFormat="1">
      <c r="A185" s="252" t="s">
        <v>578</v>
      </c>
      <c r="B185" s="253" t="s">
        <v>579</v>
      </c>
      <c r="C185" s="254" t="s">
        <v>354</v>
      </c>
      <c r="D185" s="369"/>
      <c r="E185" s="370">
        <f t="shared" ref="E185:Q185" si="53">E186+E187+E191+E192+E193+E194+E195+E196+E198+E199+E200+E201+E202</f>
        <v>15.36378</v>
      </c>
      <c r="F185" s="371">
        <f t="shared" si="53"/>
        <v>12.078199999999999</v>
      </c>
      <c r="G185" s="372">
        <f t="shared" si="53"/>
        <v>0</v>
      </c>
      <c r="H185" s="371">
        <f>H186+H187+H191+H192+H193+H194+H195+H196+H198+H199+H200+H201+H202</f>
        <v>18.635000000000002</v>
      </c>
      <c r="I185" s="372">
        <f t="shared" si="53"/>
        <v>18.635000000000002</v>
      </c>
      <c r="J185" s="371">
        <f t="shared" si="53"/>
        <v>19.398099999999999</v>
      </c>
      <c r="K185" s="372">
        <f t="shared" si="53"/>
        <v>19.398099999999999</v>
      </c>
      <c r="L185" s="371">
        <f>L186+L187+L191+L192+L193+L194+L195+L196+L198+L199+L200+L201+L202</f>
        <v>24.972000000000005</v>
      </c>
      <c r="M185" s="372">
        <f t="shared" si="53"/>
        <v>24.972000000000005</v>
      </c>
      <c r="N185" s="371">
        <f t="shared" si="53"/>
        <v>40.245006400000001</v>
      </c>
      <c r="O185" s="372">
        <f t="shared" si="53"/>
        <v>40.244806400000002</v>
      </c>
      <c r="P185" s="371">
        <f t="shared" si="53"/>
        <v>36.308490656000004</v>
      </c>
      <c r="Q185" s="372">
        <f t="shared" si="53"/>
        <v>41.313834655999997</v>
      </c>
      <c r="R185" s="371">
        <f t="shared" si="47"/>
        <v>139.55859705600002</v>
      </c>
      <c r="S185" s="372">
        <f t="shared" si="48"/>
        <v>144.56374105600003</v>
      </c>
      <c r="T185" s="259"/>
      <c r="U185" s="197"/>
    </row>
    <row r="186" s="238" customFormat="1">
      <c r="A186" s="260" t="s">
        <v>580</v>
      </c>
      <c r="B186" s="289" t="s">
        <v>581</v>
      </c>
      <c r="C186" s="262" t="s">
        <v>354</v>
      </c>
      <c r="D186" s="263"/>
      <c r="E186" s="318"/>
      <c r="F186" s="373"/>
      <c r="G186" s="374"/>
      <c r="H186" s="373"/>
      <c r="I186" s="374"/>
      <c r="J186" s="373"/>
      <c r="K186" s="374"/>
      <c r="L186" s="373"/>
      <c r="M186" s="374"/>
      <c r="N186" s="373"/>
      <c r="O186" s="374"/>
      <c r="P186" s="373"/>
      <c r="Q186" s="374"/>
      <c r="R186" s="373">
        <f t="shared" si="47"/>
        <v>0</v>
      </c>
      <c r="S186" s="374">
        <f t="shared" si="48"/>
        <v>0</v>
      </c>
      <c r="T186" s="259"/>
      <c r="U186" s="197"/>
    </row>
    <row r="187" s="238" customFormat="1">
      <c r="A187" s="282" t="s">
        <v>582</v>
      </c>
      <c r="B187" s="335" t="s">
        <v>583</v>
      </c>
      <c r="C187" s="284" t="s">
        <v>354</v>
      </c>
      <c r="D187" s="380"/>
      <c r="E187" s="325">
        <f t="shared" ref="E187:Q187" si="54">E188+E189+E190</f>
        <v>1.84572</v>
      </c>
      <c r="F187" s="381">
        <f>F188+F189+F190</f>
        <v>3.8376999999999999</v>
      </c>
      <c r="G187" s="382">
        <f t="shared" si="54"/>
        <v>0</v>
      </c>
      <c r="H187" s="381">
        <f t="shared" si="54"/>
        <v>3.7582</v>
      </c>
      <c r="I187" s="382">
        <f t="shared" si="54"/>
        <v>3.7582</v>
      </c>
      <c r="J187" s="381">
        <f t="shared" si="54"/>
        <v>3.9085000000000001</v>
      </c>
      <c r="K187" s="382">
        <f t="shared" si="54"/>
        <v>3.9085000000000001</v>
      </c>
      <c r="L187" s="381">
        <f t="shared" si="54"/>
        <v>5.2346000000000004</v>
      </c>
      <c r="M187" s="382">
        <f t="shared" si="54"/>
        <v>5.2346000000000004</v>
      </c>
      <c r="N187" s="381">
        <f t="shared" si="54"/>
        <v>9.2498224000000011</v>
      </c>
      <c r="O187" s="382">
        <f t="shared" si="54"/>
        <v>9.2498224000000011</v>
      </c>
      <c r="P187" s="381">
        <f t="shared" si="54"/>
        <v>9.6198152960000023</v>
      </c>
      <c r="Q187" s="382">
        <f t="shared" si="54"/>
        <v>9.6198152960000023</v>
      </c>
      <c r="R187" s="381">
        <f t="shared" si="47"/>
        <v>31.770937696000004</v>
      </c>
      <c r="S187" s="382">
        <f t="shared" si="48"/>
        <v>31.770937696000004</v>
      </c>
      <c r="T187" s="259"/>
      <c r="U187" s="197"/>
    </row>
    <row r="188" s="238" customFormat="1">
      <c r="A188" s="260" t="s">
        <v>584</v>
      </c>
      <c r="B188" s="267" t="s">
        <v>585</v>
      </c>
      <c r="C188" s="262" t="s">
        <v>354</v>
      </c>
      <c r="D188" s="263"/>
      <c r="E188" s="318"/>
      <c r="F188" s="373"/>
      <c r="G188" s="374"/>
      <c r="H188" s="373"/>
      <c r="I188" s="374"/>
      <c r="J188" s="373"/>
      <c r="K188" s="374"/>
      <c r="L188" s="373"/>
      <c r="M188" s="374"/>
      <c r="N188" s="373"/>
      <c r="O188" s="374"/>
      <c r="P188" s="373"/>
      <c r="Q188" s="374"/>
      <c r="R188" s="373">
        <f t="shared" si="47"/>
        <v>0</v>
      </c>
      <c r="S188" s="374">
        <f t="shared" si="48"/>
        <v>0</v>
      </c>
      <c r="T188" s="259"/>
      <c r="U188" s="197"/>
    </row>
    <row r="189" s="238" customFormat="1">
      <c r="A189" s="260" t="s">
        <v>586</v>
      </c>
      <c r="B189" s="267" t="s">
        <v>587</v>
      </c>
      <c r="C189" s="262" t="s">
        <v>354</v>
      </c>
      <c r="D189" s="375"/>
      <c r="E189" s="318"/>
      <c r="F189" s="373"/>
      <c r="G189" s="374"/>
      <c r="H189" s="373"/>
      <c r="I189" s="374"/>
      <c r="J189" s="373"/>
      <c r="K189" s="374"/>
      <c r="L189" s="373"/>
      <c r="M189" s="374"/>
      <c r="N189" s="373"/>
      <c r="O189" s="374"/>
      <c r="P189" s="373"/>
      <c r="Q189" s="374"/>
      <c r="R189" s="373">
        <f t="shared" si="47"/>
        <v>0</v>
      </c>
      <c r="S189" s="374">
        <f t="shared" si="48"/>
        <v>0</v>
      </c>
      <c r="T189" s="259"/>
      <c r="U189" s="197"/>
    </row>
    <row r="190" s="238" customFormat="1">
      <c r="A190" s="260" t="s">
        <v>588</v>
      </c>
      <c r="B190" s="267" t="s">
        <v>589</v>
      </c>
      <c r="C190" s="262" t="s">
        <v>354</v>
      </c>
      <c r="D190" s="375"/>
      <c r="E190" s="318">
        <f>E57</f>
        <v>1.84572</v>
      </c>
      <c r="F190" s="373">
        <f>F57</f>
        <v>3.8376999999999999</v>
      </c>
      <c r="G190" s="374"/>
      <c r="H190" s="373">
        <f t="shared" ref="H190:Q190" si="55">H57</f>
        <v>3.7582</v>
      </c>
      <c r="I190" s="374">
        <f t="shared" si="55"/>
        <v>3.7582</v>
      </c>
      <c r="J190" s="373">
        <f t="shared" si="55"/>
        <v>3.9085000000000001</v>
      </c>
      <c r="K190" s="374">
        <f t="shared" si="55"/>
        <v>3.9085000000000001</v>
      </c>
      <c r="L190" s="373">
        <f t="shared" si="55"/>
        <v>5.2346000000000004</v>
      </c>
      <c r="M190" s="374">
        <f t="shared" si="55"/>
        <v>5.2346000000000004</v>
      </c>
      <c r="N190" s="373">
        <f t="shared" si="55"/>
        <v>9.2498224000000011</v>
      </c>
      <c r="O190" s="374">
        <f t="shared" si="55"/>
        <v>9.2498224000000011</v>
      </c>
      <c r="P190" s="373">
        <f t="shared" si="55"/>
        <v>9.6198152960000023</v>
      </c>
      <c r="Q190" s="374">
        <f t="shared" si="55"/>
        <v>9.6198152960000023</v>
      </c>
      <c r="R190" s="373">
        <f t="shared" si="47"/>
        <v>31.770937696000004</v>
      </c>
      <c r="S190" s="374">
        <f t="shared" si="48"/>
        <v>31.770937696000004</v>
      </c>
      <c r="T190" s="259"/>
      <c r="U190" s="197"/>
    </row>
    <row r="191" s="238" customFormat="1">
      <c r="A191" s="260" t="s">
        <v>590</v>
      </c>
      <c r="B191" s="289" t="s">
        <v>591</v>
      </c>
      <c r="C191" s="262" t="s">
        <v>354</v>
      </c>
      <c r="D191" s="375"/>
      <c r="E191" s="318">
        <v>0</v>
      </c>
      <c r="F191" s="373"/>
      <c r="G191" s="374"/>
      <c r="H191" s="373">
        <f>H63*1.2</f>
        <v>0</v>
      </c>
      <c r="I191" s="374"/>
      <c r="J191" s="373">
        <f>J63*1.2</f>
        <v>0</v>
      </c>
      <c r="K191" s="374"/>
      <c r="L191" s="373">
        <f>L63*1.2</f>
        <v>0</v>
      </c>
      <c r="M191" s="374"/>
      <c r="N191" s="373">
        <f>N63*1.2</f>
        <v>0</v>
      </c>
      <c r="O191" s="374"/>
      <c r="P191" s="373">
        <f>P63*1.2</f>
        <v>0</v>
      </c>
      <c r="Q191" s="374"/>
      <c r="R191" s="373">
        <f t="shared" si="47"/>
        <v>0</v>
      </c>
      <c r="S191" s="374">
        <f t="shared" si="48"/>
        <v>0</v>
      </c>
      <c r="T191" s="259"/>
      <c r="U191" s="197"/>
    </row>
    <row r="192" s="238" customFormat="1">
      <c r="A192" s="260" t="s">
        <v>592</v>
      </c>
      <c r="B192" s="289" t="s">
        <v>593</v>
      </c>
      <c r="C192" s="262" t="s">
        <v>354</v>
      </c>
      <c r="D192" s="375"/>
      <c r="E192" s="318"/>
      <c r="F192" s="373"/>
      <c r="G192" s="374"/>
      <c r="H192" s="373"/>
      <c r="I192" s="374"/>
      <c r="J192" s="373"/>
      <c r="K192" s="374"/>
      <c r="L192" s="373"/>
      <c r="M192" s="374"/>
      <c r="N192" s="373"/>
      <c r="O192" s="374"/>
      <c r="P192" s="373"/>
      <c r="Q192" s="374"/>
      <c r="R192" s="373">
        <f t="shared" si="47"/>
        <v>0</v>
      </c>
      <c r="S192" s="374">
        <f t="shared" si="48"/>
        <v>0</v>
      </c>
      <c r="T192" s="259"/>
      <c r="U192" s="197"/>
    </row>
    <row r="193" s="238" customFormat="1">
      <c r="A193" s="260" t="s">
        <v>594</v>
      </c>
      <c r="B193" s="289" t="s">
        <v>595</v>
      </c>
      <c r="C193" s="262" t="s">
        <v>354</v>
      </c>
      <c r="D193" s="263"/>
      <c r="E193" s="318"/>
      <c r="F193" s="373"/>
      <c r="G193" s="374"/>
      <c r="H193" s="373"/>
      <c r="I193" s="374"/>
      <c r="J193" s="373"/>
      <c r="K193" s="374"/>
      <c r="L193" s="373"/>
      <c r="M193" s="374"/>
      <c r="N193" s="373"/>
      <c r="O193" s="374"/>
      <c r="P193" s="373"/>
      <c r="Q193" s="374"/>
      <c r="R193" s="373">
        <f t="shared" si="47"/>
        <v>0</v>
      </c>
      <c r="S193" s="374">
        <f t="shared" si="48"/>
        <v>0</v>
      </c>
      <c r="T193" s="259"/>
      <c r="U193" s="197"/>
    </row>
    <row r="194" s="238" customFormat="1">
      <c r="A194" s="260" t="s">
        <v>596</v>
      </c>
      <c r="B194" s="289" t="s">
        <v>597</v>
      </c>
      <c r="C194" s="262" t="s">
        <v>354</v>
      </c>
      <c r="D194" s="375"/>
      <c r="E194" s="318">
        <f>2729.3099999999999/1000</f>
        <v>2.7293099999999999</v>
      </c>
      <c r="F194" s="383">
        <f>1495.4000000000001/1000</f>
        <v>1.4954000000000001</v>
      </c>
      <c r="G194" s="374"/>
      <c r="H194" s="383">
        <f>H68-H195</f>
        <v>3.5026999999999999</v>
      </c>
      <c r="I194" s="374">
        <f>I68-I195</f>
        <v>3.5026999999999999</v>
      </c>
      <c r="J194" s="383">
        <f>J68-J195</f>
        <v>3.5664999999999996</v>
      </c>
      <c r="K194" s="374">
        <f>K68-K195</f>
        <v>3.5664999999999996</v>
      </c>
      <c r="L194" s="383">
        <v>4.6101000000000001</v>
      </c>
      <c r="M194" s="374">
        <f>M68-M195</f>
        <v>4.6101000000000001</v>
      </c>
      <c r="N194" s="383">
        <f>4.6101000000000001+2.7143000000000002</f>
        <v>7.3244000000000007</v>
      </c>
      <c r="O194" s="374">
        <f>O68-O195</f>
        <v>7.3241999999999994</v>
      </c>
      <c r="P194" s="383">
        <v>3.7759</v>
      </c>
      <c r="Q194" s="374">
        <f>Q68-Q195</f>
        <v>8.7812440000000009</v>
      </c>
      <c r="R194" s="383">
        <f t="shared" si="47"/>
        <v>22.779600000000002</v>
      </c>
      <c r="S194" s="374">
        <f t="shared" si="48"/>
        <v>27.784744</v>
      </c>
      <c r="T194" s="259"/>
      <c r="U194" s="259"/>
      <c r="V194" s="259"/>
    </row>
    <row r="195" s="238" customFormat="1">
      <c r="A195" s="260" t="s">
        <v>598</v>
      </c>
      <c r="B195" s="289" t="s">
        <v>599</v>
      </c>
      <c r="C195" s="262" t="s">
        <v>354</v>
      </c>
      <c r="D195" s="375"/>
      <c r="E195" s="318">
        <f>826.24000000000001/1000</f>
        <v>0.82623999999999997</v>
      </c>
      <c r="F195" s="383">
        <f>453.10000000000002/1000</f>
        <v>0.4531</v>
      </c>
      <c r="G195" s="374"/>
      <c r="H195" s="383">
        <v>1.0612999999999999</v>
      </c>
      <c r="I195" s="374">
        <f>H195</f>
        <v>1.0612999999999999</v>
      </c>
      <c r="J195" s="383">
        <v>1.0807</v>
      </c>
      <c r="K195" s="374">
        <f>J195</f>
        <v>1.0807</v>
      </c>
      <c r="L195" s="383">
        <v>1.3968</v>
      </c>
      <c r="M195" s="374">
        <f>L195</f>
        <v>1.3968</v>
      </c>
      <c r="N195" s="383">
        <f>1.397+0.82240000000000002</f>
        <v>2.2194000000000003</v>
      </c>
      <c r="O195" s="374">
        <f>N195</f>
        <v>2.2194000000000003</v>
      </c>
      <c r="P195" s="383">
        <v>1.1440999999999999</v>
      </c>
      <c r="Q195" s="374">
        <f>P195</f>
        <v>1.1440999999999999</v>
      </c>
      <c r="R195" s="383">
        <f t="shared" si="47"/>
        <v>6.9023000000000003</v>
      </c>
      <c r="S195" s="374">
        <f t="shared" si="48"/>
        <v>6.9023000000000003</v>
      </c>
      <c r="T195" s="259"/>
      <c r="U195" s="259"/>
      <c r="V195" s="259"/>
    </row>
    <row r="196" s="238" customFormat="1">
      <c r="A196" s="260" t="s">
        <v>600</v>
      </c>
      <c r="B196" s="289" t="s">
        <v>601</v>
      </c>
      <c r="C196" s="262" t="s">
        <v>354</v>
      </c>
      <c r="D196" s="384"/>
      <c r="E196" s="376">
        <f>113.63/1000</f>
        <v>0.11362999999999999</v>
      </c>
      <c r="F196" s="373">
        <f>126.59999999999999/1000</f>
        <v>0.12659999999999999</v>
      </c>
      <c r="G196" s="374"/>
      <c r="H196" s="373">
        <f t="shared" ref="H196:Q196" si="56">H72</f>
        <v>0.1905</v>
      </c>
      <c r="I196" s="374">
        <f t="shared" si="56"/>
        <v>0.1905</v>
      </c>
      <c r="J196" s="373">
        <f t="shared" si="56"/>
        <v>0.19389999999999999</v>
      </c>
      <c r="K196" s="374">
        <f t="shared" si="56"/>
        <v>0.19389999999999999</v>
      </c>
      <c r="L196" s="373">
        <f t="shared" si="56"/>
        <v>0.23760000000000001</v>
      </c>
      <c r="M196" s="374">
        <f t="shared" si="56"/>
        <v>0.23760000000000001</v>
      </c>
      <c r="N196" s="373">
        <f t="shared" si="56"/>
        <v>0.34999999999999998</v>
      </c>
      <c r="O196" s="374">
        <f t="shared" si="56"/>
        <v>0.34999999999999998</v>
      </c>
      <c r="P196" s="373">
        <f t="shared" si="56"/>
        <v>0.34999999999999998</v>
      </c>
      <c r="Q196" s="374">
        <f t="shared" si="56"/>
        <v>0.34999999999999998</v>
      </c>
      <c r="R196" s="373">
        <f t="shared" si="47"/>
        <v>1.3220000000000001</v>
      </c>
      <c r="S196" s="374">
        <f t="shared" si="48"/>
        <v>1.3220000000000001</v>
      </c>
      <c r="T196" s="259"/>
      <c r="U196" s="259"/>
      <c r="V196" s="259"/>
    </row>
    <row r="197" s="238" customFormat="1">
      <c r="A197" s="260" t="s">
        <v>602</v>
      </c>
      <c r="B197" s="267" t="s">
        <v>603</v>
      </c>
      <c r="C197" s="262" t="s">
        <v>354</v>
      </c>
      <c r="D197" s="384"/>
      <c r="E197" s="376">
        <v>0</v>
      </c>
      <c r="F197" s="373"/>
      <c r="G197" s="374"/>
      <c r="H197" s="373"/>
      <c r="I197" s="374"/>
      <c r="J197" s="373"/>
      <c r="K197" s="374"/>
      <c r="L197" s="373"/>
      <c r="M197" s="374"/>
      <c r="N197" s="373"/>
      <c r="O197" s="374"/>
      <c r="P197" s="373"/>
      <c r="Q197" s="374"/>
      <c r="R197" s="373">
        <f t="shared" si="47"/>
        <v>0</v>
      </c>
      <c r="S197" s="374">
        <f t="shared" si="48"/>
        <v>0</v>
      </c>
      <c r="T197" s="259"/>
      <c r="U197" s="259"/>
      <c r="V197" s="259"/>
    </row>
    <row r="198" s="238" customFormat="1">
      <c r="A198" s="260" t="s">
        <v>604</v>
      </c>
      <c r="B198" s="289" t="s">
        <v>605</v>
      </c>
      <c r="C198" s="262" t="s">
        <v>354</v>
      </c>
      <c r="D198" s="375"/>
      <c r="E198" s="376">
        <f>E60</f>
        <v>0.054289999999999998</v>
      </c>
      <c r="F198" s="373">
        <f>63.5/1000</f>
        <v>0.063500000000000001</v>
      </c>
      <c r="G198" s="374"/>
      <c r="H198" s="373">
        <f t="shared" ref="H198:Q198" si="57">H60</f>
        <v>0.044900000000000002</v>
      </c>
      <c r="I198" s="374">
        <f t="shared" si="57"/>
        <v>0.044900000000000002</v>
      </c>
      <c r="J198" s="373">
        <f t="shared" si="57"/>
        <v>0.0458</v>
      </c>
      <c r="K198" s="374">
        <f t="shared" si="57"/>
        <v>0.0458</v>
      </c>
      <c r="L198" s="373">
        <f t="shared" si="57"/>
        <v>0.059200000000000003</v>
      </c>
      <c r="M198" s="374">
        <f t="shared" si="57"/>
        <v>0.059200000000000003</v>
      </c>
      <c r="N198" s="373">
        <f t="shared" si="57"/>
        <v>0.1918</v>
      </c>
      <c r="O198" s="374">
        <f t="shared" si="57"/>
        <v>0.1918</v>
      </c>
      <c r="P198" s="373">
        <f t="shared" si="57"/>
        <v>0.19947200000000001</v>
      </c>
      <c r="Q198" s="374">
        <f t="shared" si="57"/>
        <v>0.19947200000000001</v>
      </c>
      <c r="R198" s="373">
        <f t="shared" si="47"/>
        <v>0.54117199999999999</v>
      </c>
      <c r="S198" s="374">
        <f t="shared" si="48"/>
        <v>0.54117199999999999</v>
      </c>
      <c r="T198" s="259"/>
      <c r="U198" s="197"/>
    </row>
    <row r="199" s="238" customFormat="1">
      <c r="A199" s="260" t="s">
        <v>606</v>
      </c>
      <c r="B199" s="289" t="s">
        <v>607</v>
      </c>
      <c r="C199" s="262" t="s">
        <v>354</v>
      </c>
      <c r="D199" s="375"/>
      <c r="E199" s="376">
        <f>E62</f>
        <v>0.95228999999999997</v>
      </c>
      <c r="F199" s="373">
        <f>204.09999999999999/1000</f>
        <v>0.2041</v>
      </c>
      <c r="G199" s="374"/>
      <c r="H199" s="373">
        <f t="shared" ref="H199:Q199" si="58">H67</f>
        <v>0.51289999999999969</v>
      </c>
      <c r="I199" s="374">
        <f t="shared" si="58"/>
        <v>0.51289999999999969</v>
      </c>
      <c r="J199" s="373">
        <f t="shared" si="58"/>
        <v>0.48938779999999982</v>
      </c>
      <c r="K199" s="374">
        <f t="shared" si="58"/>
        <v>0.48938779999999982</v>
      </c>
      <c r="L199" s="373">
        <f t="shared" si="58"/>
        <v>0.67500000000000027</v>
      </c>
      <c r="M199" s="374">
        <f t="shared" si="58"/>
        <v>0.67500000000000027</v>
      </c>
      <c r="N199" s="373">
        <f t="shared" si="58"/>
        <v>2.3678279999999998</v>
      </c>
      <c r="O199" s="374">
        <f t="shared" si="58"/>
        <v>2.3678279999999998</v>
      </c>
      <c r="P199" s="373">
        <f t="shared" si="58"/>
        <v>2.46254112</v>
      </c>
      <c r="Q199" s="374">
        <f t="shared" si="58"/>
        <v>2.46254112</v>
      </c>
      <c r="R199" s="373">
        <f t="shared" si="47"/>
        <v>6.5076569199999996</v>
      </c>
      <c r="S199" s="374">
        <f t="shared" si="48"/>
        <v>6.5076569199999996</v>
      </c>
      <c r="T199" s="259"/>
      <c r="U199" s="197"/>
    </row>
    <row r="200" s="238" customFormat="1">
      <c r="A200" s="260" t="s">
        <v>608</v>
      </c>
      <c r="B200" s="289" t="s">
        <v>609</v>
      </c>
      <c r="C200" s="262" t="s">
        <v>354</v>
      </c>
      <c r="D200" s="375"/>
      <c r="E200" s="376">
        <f>E75</f>
        <v>7.0169899999999998</v>
      </c>
      <c r="F200" s="373">
        <f>F75</f>
        <v>5.7755000000000001</v>
      </c>
      <c r="G200" s="374"/>
      <c r="H200" s="373">
        <f t="shared" ref="H200:Q200" si="59">H75</f>
        <v>7.8045</v>
      </c>
      <c r="I200" s="374">
        <f t="shared" si="59"/>
        <v>7.8045</v>
      </c>
      <c r="J200" s="373">
        <f t="shared" si="59"/>
        <v>7.8045</v>
      </c>
      <c r="K200" s="374">
        <f t="shared" si="59"/>
        <v>7.8045</v>
      </c>
      <c r="L200" s="373">
        <f t="shared" si="59"/>
        <v>9.8168000000000006</v>
      </c>
      <c r="M200" s="374">
        <f t="shared" si="59"/>
        <v>9.8168000000000006</v>
      </c>
      <c r="N200" s="373">
        <f t="shared" si="59"/>
        <v>13.1691</v>
      </c>
      <c r="O200" s="374">
        <f t="shared" si="59"/>
        <v>13.1691</v>
      </c>
      <c r="P200" s="373">
        <f t="shared" si="59"/>
        <v>13.1691</v>
      </c>
      <c r="Q200" s="374">
        <f t="shared" si="59"/>
        <v>13.1691</v>
      </c>
      <c r="R200" s="373">
        <f t="shared" si="47"/>
        <v>51.764000000000003</v>
      </c>
      <c r="S200" s="374">
        <f t="shared" si="48"/>
        <v>51.764000000000003</v>
      </c>
      <c r="T200" s="259"/>
      <c r="U200" s="197"/>
    </row>
    <row r="201" s="238" customFormat="1">
      <c r="A201" s="260" t="s">
        <v>610</v>
      </c>
      <c r="B201" s="289" t="s">
        <v>611</v>
      </c>
      <c r="C201" s="262" t="s">
        <v>354</v>
      </c>
      <c r="D201" s="263"/>
      <c r="E201" s="318"/>
      <c r="F201" s="373"/>
      <c r="G201" s="374"/>
      <c r="H201" s="373"/>
      <c r="I201" s="374"/>
      <c r="J201" s="373"/>
      <c r="K201" s="374"/>
      <c r="L201" s="373"/>
      <c r="M201" s="374"/>
      <c r="N201" s="373"/>
      <c r="O201" s="374"/>
      <c r="P201" s="373"/>
      <c r="Q201" s="374"/>
      <c r="R201" s="373">
        <f t="shared" si="47"/>
        <v>0</v>
      </c>
      <c r="S201" s="374">
        <f t="shared" si="48"/>
        <v>0</v>
      </c>
      <c r="T201" s="259"/>
      <c r="U201" s="197"/>
    </row>
    <row r="202" s="238" customFormat="1">
      <c r="A202" s="269" t="s">
        <v>612</v>
      </c>
      <c r="B202" s="362" t="s">
        <v>613</v>
      </c>
      <c r="C202" s="271" t="s">
        <v>354</v>
      </c>
      <c r="D202" s="385"/>
      <c r="E202" s="377">
        <f>E76</f>
        <v>1.82531</v>
      </c>
      <c r="F202" s="386">
        <f>(627.70000000000005-841.10000000000002+91.099999999999994+172.69999999999999+71.900000000000006)/1000</f>
        <v>0.12230000000000001</v>
      </c>
      <c r="G202" s="379"/>
      <c r="H202" s="386">
        <f t="shared" ref="H202:Q202" si="60">H76+H78</f>
        <v>1.76</v>
      </c>
      <c r="I202" s="379">
        <f t="shared" si="60"/>
        <v>1.76</v>
      </c>
      <c r="J202" s="386">
        <f t="shared" si="60"/>
        <v>2.3088122000000002</v>
      </c>
      <c r="K202" s="379">
        <f t="shared" si="60"/>
        <v>2.3088122000000002</v>
      </c>
      <c r="L202" s="386">
        <f t="shared" si="60"/>
        <v>2.9419</v>
      </c>
      <c r="M202" s="379">
        <f t="shared" si="60"/>
        <v>2.9419</v>
      </c>
      <c r="N202" s="386">
        <f t="shared" si="60"/>
        <v>5.3726560000000001</v>
      </c>
      <c r="O202" s="379">
        <f t="shared" si="60"/>
        <v>5.3726560000000001</v>
      </c>
      <c r="P202" s="386">
        <f t="shared" si="60"/>
        <v>5.5875622400000005</v>
      </c>
      <c r="Q202" s="379">
        <f t="shared" si="60"/>
        <v>5.5875622400000005</v>
      </c>
      <c r="R202" s="386">
        <f t="shared" si="47"/>
        <v>17.97093044</v>
      </c>
      <c r="S202" s="379">
        <f t="shared" si="48"/>
        <v>17.97093044</v>
      </c>
      <c r="T202" s="259"/>
      <c r="U202" s="197"/>
    </row>
    <row r="203" s="238" customFormat="1" ht="26.25" customHeight="1">
      <c r="A203" s="340" t="s">
        <v>614</v>
      </c>
      <c r="B203" s="341" t="s">
        <v>615</v>
      </c>
      <c r="C203" s="342" t="s">
        <v>354</v>
      </c>
      <c r="D203" s="387"/>
      <c r="E203" s="388"/>
      <c r="F203" s="389"/>
      <c r="G203" s="390"/>
      <c r="H203" s="389"/>
      <c r="I203" s="390"/>
      <c r="J203" s="389"/>
      <c r="K203" s="390"/>
      <c r="L203" s="389"/>
      <c r="M203" s="390"/>
      <c r="N203" s="389"/>
      <c r="O203" s="390"/>
      <c r="P203" s="389"/>
      <c r="Q203" s="390"/>
      <c r="R203" s="389">
        <f t="shared" si="47"/>
        <v>0</v>
      </c>
      <c r="S203" s="390">
        <f t="shared" si="48"/>
        <v>0</v>
      </c>
      <c r="T203" s="259"/>
      <c r="U203" s="197"/>
    </row>
    <row r="204" s="238" customFormat="1">
      <c r="A204" s="260" t="s">
        <v>616</v>
      </c>
      <c r="B204" s="289" t="s">
        <v>617</v>
      </c>
      <c r="C204" s="262" t="s">
        <v>354</v>
      </c>
      <c r="D204" s="263"/>
      <c r="E204" s="318"/>
      <c r="F204" s="373"/>
      <c r="G204" s="374"/>
      <c r="H204" s="373"/>
      <c r="I204" s="374"/>
      <c r="J204" s="373"/>
      <c r="K204" s="374"/>
      <c r="L204" s="373"/>
      <c r="M204" s="374"/>
      <c r="N204" s="373"/>
      <c r="O204" s="374"/>
      <c r="P204" s="373"/>
      <c r="Q204" s="374"/>
      <c r="R204" s="373">
        <f t="shared" si="47"/>
        <v>0</v>
      </c>
      <c r="S204" s="374">
        <f t="shared" si="48"/>
        <v>0</v>
      </c>
      <c r="T204" s="259"/>
      <c r="U204" s="197"/>
    </row>
    <row r="205" s="238" customFormat="1">
      <c r="A205" s="260" t="s">
        <v>618</v>
      </c>
      <c r="B205" s="289" t="s">
        <v>619</v>
      </c>
      <c r="C205" s="262" t="s">
        <v>354</v>
      </c>
      <c r="D205" s="263"/>
      <c r="E205" s="318"/>
      <c r="F205" s="373"/>
      <c r="G205" s="374"/>
      <c r="H205" s="373"/>
      <c r="I205" s="374"/>
      <c r="J205" s="373"/>
      <c r="K205" s="374"/>
      <c r="L205" s="373"/>
      <c r="M205" s="374"/>
      <c r="N205" s="373"/>
      <c r="O205" s="374"/>
      <c r="P205" s="373"/>
      <c r="Q205" s="374"/>
      <c r="R205" s="373">
        <f t="shared" si="47"/>
        <v>0</v>
      </c>
      <c r="S205" s="374">
        <f t="shared" si="48"/>
        <v>0</v>
      </c>
      <c r="T205" s="259"/>
      <c r="U205" s="197"/>
    </row>
    <row r="206" s="238" customFormat="1" ht="34.5" customHeight="1">
      <c r="A206" s="260" t="s">
        <v>620</v>
      </c>
      <c r="B206" s="267" t="s">
        <v>621</v>
      </c>
      <c r="C206" s="262" t="s">
        <v>354</v>
      </c>
      <c r="D206" s="263"/>
      <c r="E206" s="318"/>
      <c r="F206" s="373"/>
      <c r="G206" s="374"/>
      <c r="H206" s="373"/>
      <c r="I206" s="374"/>
      <c r="J206" s="373"/>
      <c r="K206" s="374"/>
      <c r="L206" s="373"/>
      <c r="M206" s="374"/>
      <c r="N206" s="373"/>
      <c r="O206" s="374"/>
      <c r="P206" s="373"/>
      <c r="Q206" s="374"/>
      <c r="R206" s="373">
        <f t="shared" si="47"/>
        <v>0</v>
      </c>
      <c r="S206" s="374">
        <f t="shared" si="48"/>
        <v>0</v>
      </c>
      <c r="T206" s="259"/>
      <c r="U206" s="197"/>
    </row>
    <row r="207" s="238" customFormat="1">
      <c r="A207" s="260" t="s">
        <v>622</v>
      </c>
      <c r="B207" s="267" t="s">
        <v>623</v>
      </c>
      <c r="C207" s="262" t="s">
        <v>354</v>
      </c>
      <c r="D207" s="263"/>
      <c r="E207" s="318"/>
      <c r="F207" s="373"/>
      <c r="G207" s="374"/>
      <c r="H207" s="373"/>
      <c r="I207" s="374"/>
      <c r="J207" s="373"/>
      <c r="K207" s="374"/>
      <c r="L207" s="373"/>
      <c r="M207" s="374"/>
      <c r="N207" s="373"/>
      <c r="O207" s="374"/>
      <c r="P207" s="373"/>
      <c r="Q207" s="374"/>
      <c r="R207" s="373">
        <f t="shared" si="47"/>
        <v>0</v>
      </c>
      <c r="S207" s="374">
        <f t="shared" si="48"/>
        <v>0</v>
      </c>
      <c r="T207" s="259"/>
      <c r="U207" s="197"/>
    </row>
    <row r="208" s="238" customFormat="1">
      <c r="A208" s="260" t="s">
        <v>624</v>
      </c>
      <c r="B208" s="267" t="s">
        <v>625</v>
      </c>
      <c r="C208" s="262" t="s">
        <v>354</v>
      </c>
      <c r="D208" s="263"/>
      <c r="E208" s="318"/>
      <c r="F208" s="373"/>
      <c r="G208" s="374"/>
      <c r="H208" s="373"/>
      <c r="I208" s="374"/>
      <c r="J208" s="373"/>
      <c r="K208" s="374"/>
      <c r="L208" s="373"/>
      <c r="M208" s="374"/>
      <c r="N208" s="373"/>
      <c r="O208" s="374"/>
      <c r="P208" s="373"/>
      <c r="Q208" s="374"/>
      <c r="R208" s="373">
        <f t="shared" si="47"/>
        <v>0</v>
      </c>
      <c r="S208" s="374">
        <f t="shared" si="48"/>
        <v>0</v>
      </c>
      <c r="T208" s="259"/>
      <c r="U208" s="197"/>
    </row>
    <row r="209" s="238" customFormat="1">
      <c r="A209" s="269" t="s">
        <v>626</v>
      </c>
      <c r="B209" s="362" t="s">
        <v>627</v>
      </c>
      <c r="C209" s="271" t="s">
        <v>354</v>
      </c>
      <c r="D209" s="272"/>
      <c r="E209" s="377"/>
      <c r="F209" s="378"/>
      <c r="G209" s="379"/>
      <c r="H209" s="378"/>
      <c r="I209" s="379"/>
      <c r="J209" s="378"/>
      <c r="K209" s="379"/>
      <c r="L209" s="378"/>
      <c r="M209" s="379"/>
      <c r="N209" s="378"/>
      <c r="O209" s="379"/>
      <c r="P209" s="378"/>
      <c r="Q209" s="379"/>
      <c r="R209" s="378">
        <f t="shared" si="47"/>
        <v>0</v>
      </c>
      <c r="S209" s="379">
        <f t="shared" si="48"/>
        <v>0</v>
      </c>
      <c r="T209" s="259"/>
      <c r="U209" s="197"/>
    </row>
    <row r="210" s="238" customFormat="1">
      <c r="A210" s="340" t="s">
        <v>628</v>
      </c>
      <c r="B210" s="341" t="s">
        <v>629</v>
      </c>
      <c r="C210" s="342" t="s">
        <v>354</v>
      </c>
      <c r="D210" s="391"/>
      <c r="E210" s="388"/>
      <c r="F210" s="389">
        <f>F213</f>
        <v>0</v>
      </c>
      <c r="G210" s="390"/>
      <c r="H210" s="389"/>
      <c r="I210" s="390"/>
      <c r="J210" s="389"/>
      <c r="K210" s="390"/>
      <c r="L210" s="389"/>
      <c r="M210" s="390"/>
      <c r="N210" s="389"/>
      <c r="O210" s="390"/>
      <c r="P210" s="389"/>
      <c r="Q210" s="390"/>
      <c r="R210" s="389">
        <f t="shared" si="47"/>
        <v>0</v>
      </c>
      <c r="S210" s="390">
        <f t="shared" si="48"/>
        <v>0</v>
      </c>
      <c r="T210" s="259"/>
      <c r="U210" s="197"/>
    </row>
    <row r="211" s="238" customFormat="1">
      <c r="A211" s="260" t="s">
        <v>630</v>
      </c>
      <c r="B211" s="289" t="s">
        <v>631</v>
      </c>
      <c r="C211" s="262" t="s">
        <v>354</v>
      </c>
      <c r="D211" s="375"/>
      <c r="E211" s="376"/>
      <c r="F211" s="373"/>
      <c r="G211" s="374"/>
      <c r="H211" s="373">
        <f t="shared" ref="H211:Q211" si="61">H155</f>
        <v>0.41700000000000159</v>
      </c>
      <c r="I211" s="374">
        <f t="shared" si="61"/>
        <v>0.41700000000000159</v>
      </c>
      <c r="J211" s="373">
        <f t="shared" si="61"/>
        <v>0.96699999999999997</v>
      </c>
      <c r="K211" s="374">
        <f t="shared" si="61"/>
        <v>0.96699999999999997</v>
      </c>
      <c r="L211" s="373">
        <f t="shared" si="61"/>
        <v>0.98499999999999999</v>
      </c>
      <c r="M211" s="374">
        <f t="shared" si="61"/>
        <v>0.98499999999999999</v>
      </c>
      <c r="N211" s="373">
        <f t="shared" si="61"/>
        <v>1.0029999999999999</v>
      </c>
      <c r="O211" s="374">
        <f t="shared" si="61"/>
        <v>2.8759999999999999</v>
      </c>
      <c r="P211" s="373">
        <f t="shared" si="61"/>
        <v>0.988398</v>
      </c>
      <c r="Q211" s="374">
        <f t="shared" si="61"/>
        <v>2.7977479999999999</v>
      </c>
      <c r="R211" s="373">
        <f t="shared" si="47"/>
        <v>4.3603980000000018</v>
      </c>
      <c r="S211" s="374">
        <f t="shared" si="48"/>
        <v>8.0427480000000013</v>
      </c>
      <c r="T211" s="259"/>
      <c r="U211" s="197"/>
    </row>
    <row r="212" s="238" customFormat="1">
      <c r="A212" s="260" t="s">
        <v>632</v>
      </c>
      <c r="B212" s="267" t="s">
        <v>633</v>
      </c>
      <c r="C212" s="262" t="s">
        <v>354</v>
      </c>
      <c r="D212" s="375"/>
      <c r="E212" s="376"/>
      <c r="F212" s="373"/>
      <c r="G212" s="374"/>
      <c r="H212" s="373"/>
      <c r="I212" s="374"/>
      <c r="J212" s="373"/>
      <c r="K212" s="374"/>
      <c r="L212" s="373"/>
      <c r="M212" s="374"/>
      <c r="N212" s="373"/>
      <c r="O212" s="374"/>
      <c r="P212" s="373"/>
      <c r="Q212" s="374"/>
      <c r="R212" s="373">
        <f t="shared" si="47"/>
        <v>0</v>
      </c>
      <c r="S212" s="374">
        <f t="shared" si="48"/>
        <v>0</v>
      </c>
      <c r="T212" s="259"/>
      <c r="U212" s="197"/>
    </row>
    <row r="213" s="238" customFormat="1">
      <c r="A213" s="260" t="s">
        <v>634</v>
      </c>
      <c r="B213" s="267" t="s">
        <v>635</v>
      </c>
      <c r="C213" s="262" t="s">
        <v>354</v>
      </c>
      <c r="D213" s="263"/>
      <c r="E213" s="318"/>
      <c r="F213" s="373">
        <v>0</v>
      </c>
      <c r="G213" s="374"/>
      <c r="H213" s="373"/>
      <c r="I213" s="374"/>
      <c r="J213" s="373"/>
      <c r="K213" s="374"/>
      <c r="L213" s="373"/>
      <c r="M213" s="374"/>
      <c r="N213" s="373"/>
      <c r="O213" s="374"/>
      <c r="P213" s="373"/>
      <c r="Q213" s="374"/>
      <c r="R213" s="373">
        <f t="shared" si="47"/>
        <v>0</v>
      </c>
      <c r="S213" s="374">
        <f t="shared" si="48"/>
        <v>0</v>
      </c>
      <c r="T213" s="259"/>
      <c r="U213" s="197"/>
    </row>
    <row r="214" s="238" customFormat="1">
      <c r="A214" s="260" t="s">
        <v>636</v>
      </c>
      <c r="B214" s="267" t="s">
        <v>637</v>
      </c>
      <c r="C214" s="262" t="s">
        <v>354</v>
      </c>
      <c r="D214" s="263"/>
      <c r="E214" s="318"/>
      <c r="F214" s="373"/>
      <c r="G214" s="374"/>
      <c r="H214" s="373"/>
      <c r="I214" s="374"/>
      <c r="J214" s="373"/>
      <c r="K214" s="374"/>
      <c r="L214" s="373"/>
      <c r="M214" s="374"/>
      <c r="N214" s="373"/>
      <c r="O214" s="374"/>
      <c r="P214" s="373"/>
      <c r="Q214" s="374"/>
      <c r="R214" s="373">
        <f t="shared" si="47"/>
        <v>0</v>
      </c>
      <c r="S214" s="374">
        <f t="shared" si="48"/>
        <v>0</v>
      </c>
      <c r="T214" s="259"/>
      <c r="U214" s="197"/>
    </row>
    <row r="215" s="238" customFormat="1">
      <c r="A215" s="260" t="s">
        <v>638</v>
      </c>
      <c r="B215" s="267" t="s">
        <v>639</v>
      </c>
      <c r="C215" s="262" t="s">
        <v>354</v>
      </c>
      <c r="D215" s="263"/>
      <c r="E215" s="376"/>
      <c r="F215" s="373"/>
      <c r="G215" s="374"/>
      <c r="H215" s="373"/>
      <c r="I215" s="374"/>
      <c r="J215" s="373"/>
      <c r="K215" s="374"/>
      <c r="L215" s="373"/>
      <c r="M215" s="374"/>
      <c r="N215" s="373"/>
      <c r="O215" s="374"/>
      <c r="P215" s="373"/>
      <c r="Q215" s="374"/>
      <c r="R215" s="373">
        <f t="shared" si="47"/>
        <v>0</v>
      </c>
      <c r="S215" s="374">
        <f t="shared" si="48"/>
        <v>0</v>
      </c>
      <c r="T215" s="259"/>
      <c r="U215" s="197"/>
    </row>
    <row r="216" s="238" customFormat="1">
      <c r="A216" s="260" t="s">
        <v>640</v>
      </c>
      <c r="B216" s="267" t="s">
        <v>641</v>
      </c>
      <c r="C216" s="262" t="s">
        <v>354</v>
      </c>
      <c r="D216" s="263"/>
      <c r="E216" s="318"/>
      <c r="F216" s="373"/>
      <c r="G216" s="374"/>
      <c r="H216" s="373"/>
      <c r="I216" s="374"/>
      <c r="J216" s="373"/>
      <c r="K216" s="374"/>
      <c r="L216" s="373"/>
      <c r="M216" s="374"/>
      <c r="N216" s="373"/>
      <c r="O216" s="374"/>
      <c r="P216" s="373"/>
      <c r="Q216" s="374"/>
      <c r="R216" s="373">
        <f t="shared" ref="R216:R279" si="62">H216+J216+L216+N216+P216</f>
        <v>0</v>
      </c>
      <c r="S216" s="374">
        <f t="shared" ref="S216:S279" si="63">I216+K216+M216+O216+Q216</f>
        <v>0</v>
      </c>
      <c r="T216" s="259"/>
      <c r="U216" s="197"/>
    </row>
    <row r="217" s="238" customFormat="1">
      <c r="A217" s="260" t="s">
        <v>642</v>
      </c>
      <c r="B217" s="267" t="s">
        <v>643</v>
      </c>
      <c r="C217" s="262" t="s">
        <v>354</v>
      </c>
      <c r="D217" s="263"/>
      <c r="E217" s="318"/>
      <c r="F217" s="373"/>
      <c r="G217" s="374"/>
      <c r="H217" s="373"/>
      <c r="I217" s="374"/>
      <c r="J217" s="373"/>
      <c r="K217" s="374"/>
      <c r="L217" s="373"/>
      <c r="M217" s="374"/>
      <c r="N217" s="373"/>
      <c r="O217" s="374"/>
      <c r="P217" s="373"/>
      <c r="Q217" s="374"/>
      <c r="R217" s="373">
        <f t="shared" si="62"/>
        <v>0</v>
      </c>
      <c r="S217" s="374">
        <f t="shared" si="63"/>
        <v>0</v>
      </c>
      <c r="T217" s="259"/>
      <c r="U217" s="197"/>
    </row>
    <row r="218" s="238" customFormat="1">
      <c r="A218" s="260" t="s">
        <v>644</v>
      </c>
      <c r="B218" s="289" t="s">
        <v>645</v>
      </c>
      <c r="C218" s="262" t="s">
        <v>354</v>
      </c>
      <c r="D218" s="263"/>
      <c r="E218" s="318"/>
      <c r="F218" s="373"/>
      <c r="G218" s="374"/>
      <c r="H218" s="373"/>
      <c r="I218" s="374"/>
      <c r="J218" s="373"/>
      <c r="K218" s="374"/>
      <c r="L218" s="373"/>
      <c r="M218" s="374"/>
      <c r="N218" s="373"/>
      <c r="O218" s="374"/>
      <c r="P218" s="373"/>
      <c r="Q218" s="374"/>
      <c r="R218" s="373">
        <f t="shared" si="62"/>
        <v>0</v>
      </c>
      <c r="S218" s="374">
        <f t="shared" si="63"/>
        <v>0</v>
      </c>
      <c r="T218" s="259"/>
      <c r="U218" s="197"/>
    </row>
    <row r="219" s="238" customFormat="1">
      <c r="A219" s="260" t="s">
        <v>646</v>
      </c>
      <c r="B219" s="289" t="s">
        <v>647</v>
      </c>
      <c r="C219" s="262" t="s">
        <v>354</v>
      </c>
      <c r="D219" s="263"/>
      <c r="E219" s="318"/>
      <c r="F219" s="373"/>
      <c r="G219" s="374"/>
      <c r="H219" s="373"/>
      <c r="I219" s="374"/>
      <c r="J219" s="373"/>
      <c r="K219" s="374"/>
      <c r="L219" s="373"/>
      <c r="M219" s="374"/>
      <c r="N219" s="373"/>
      <c r="O219" s="374"/>
      <c r="P219" s="373"/>
      <c r="Q219" s="374"/>
      <c r="R219" s="373">
        <f t="shared" si="62"/>
        <v>0</v>
      </c>
      <c r="S219" s="374">
        <f t="shared" si="63"/>
        <v>0</v>
      </c>
      <c r="T219" s="259"/>
      <c r="U219" s="197"/>
    </row>
    <row r="220" s="238" customFormat="1">
      <c r="A220" s="260" t="s">
        <v>648</v>
      </c>
      <c r="B220" s="289" t="s">
        <v>430</v>
      </c>
      <c r="C220" s="262" t="s">
        <v>66</v>
      </c>
      <c r="D220" s="263"/>
      <c r="E220" s="318"/>
      <c r="F220" s="373"/>
      <c r="G220" s="374"/>
      <c r="H220" s="373"/>
      <c r="I220" s="374"/>
      <c r="J220" s="373"/>
      <c r="K220" s="374"/>
      <c r="L220" s="373"/>
      <c r="M220" s="374"/>
      <c r="N220" s="373"/>
      <c r="O220" s="374"/>
      <c r="P220" s="373"/>
      <c r="Q220" s="374"/>
      <c r="R220" s="373">
        <f t="shared" si="62"/>
        <v>0</v>
      </c>
      <c r="S220" s="374">
        <f t="shared" si="63"/>
        <v>0</v>
      </c>
      <c r="T220" s="259"/>
      <c r="U220" s="197"/>
    </row>
    <row r="221" s="238" customFormat="1">
      <c r="A221" s="269" t="s">
        <v>649</v>
      </c>
      <c r="B221" s="362" t="s">
        <v>650</v>
      </c>
      <c r="C221" s="271" t="s">
        <v>354</v>
      </c>
      <c r="D221" s="272"/>
      <c r="E221" s="320"/>
      <c r="F221" s="378"/>
      <c r="G221" s="379"/>
      <c r="H221" s="378"/>
      <c r="I221" s="379"/>
      <c r="J221" s="378"/>
      <c r="K221" s="379"/>
      <c r="L221" s="378"/>
      <c r="M221" s="379"/>
      <c r="N221" s="378"/>
      <c r="O221" s="379"/>
      <c r="P221" s="378"/>
      <c r="Q221" s="379"/>
      <c r="R221" s="378">
        <f t="shared" si="62"/>
        <v>0</v>
      </c>
      <c r="S221" s="379">
        <f t="shared" si="63"/>
        <v>0</v>
      </c>
      <c r="T221" s="259"/>
      <c r="U221" s="197"/>
    </row>
    <row r="222" s="238" customFormat="1">
      <c r="A222" s="252" t="s">
        <v>651</v>
      </c>
      <c r="B222" s="253" t="s">
        <v>652</v>
      </c>
      <c r="C222" s="254" t="s">
        <v>354</v>
      </c>
      <c r="D222" s="392"/>
      <c r="E222" s="370">
        <f t="shared" ref="E222:Q222" si="64">E223+E224+E228+E229+E232+E233+E234</f>
        <v>0</v>
      </c>
      <c r="F222" s="371">
        <f t="shared" si="64"/>
        <v>0</v>
      </c>
      <c r="G222" s="372">
        <f t="shared" si="64"/>
        <v>0</v>
      </c>
      <c r="H222" s="371">
        <f t="shared" si="64"/>
        <v>0</v>
      </c>
      <c r="I222" s="372">
        <f t="shared" si="64"/>
        <v>0</v>
      </c>
      <c r="J222" s="371">
        <f t="shared" si="64"/>
        <v>0</v>
      </c>
      <c r="K222" s="372">
        <f t="shared" si="64"/>
        <v>0</v>
      </c>
      <c r="L222" s="371">
        <f t="shared" si="64"/>
        <v>0</v>
      </c>
      <c r="M222" s="372">
        <f t="shared" si="64"/>
        <v>0</v>
      </c>
      <c r="N222" s="371">
        <f t="shared" si="64"/>
        <v>0</v>
      </c>
      <c r="O222" s="372">
        <f t="shared" si="64"/>
        <v>0</v>
      </c>
      <c r="P222" s="371">
        <f t="shared" si="64"/>
        <v>0</v>
      </c>
      <c r="Q222" s="372">
        <f t="shared" si="64"/>
        <v>0</v>
      </c>
      <c r="R222" s="371">
        <f t="shared" si="62"/>
        <v>0</v>
      </c>
      <c r="S222" s="372">
        <f t="shared" si="63"/>
        <v>0</v>
      </c>
      <c r="T222" s="259"/>
      <c r="U222" s="197"/>
    </row>
    <row r="223" s="238" customFormat="1">
      <c r="A223" s="260" t="s">
        <v>653</v>
      </c>
      <c r="B223" s="289" t="s">
        <v>654</v>
      </c>
      <c r="C223" s="262" t="s">
        <v>354</v>
      </c>
      <c r="D223" s="263"/>
      <c r="E223" s="376">
        <v>0</v>
      </c>
      <c r="F223" s="373"/>
      <c r="G223" s="374"/>
      <c r="H223" s="373"/>
      <c r="I223" s="374"/>
      <c r="J223" s="373"/>
      <c r="K223" s="374"/>
      <c r="L223" s="373"/>
      <c r="M223" s="374"/>
      <c r="N223" s="373"/>
      <c r="O223" s="374"/>
      <c r="P223" s="373"/>
      <c r="Q223" s="374"/>
      <c r="R223" s="373">
        <f t="shared" si="62"/>
        <v>0</v>
      </c>
      <c r="S223" s="374">
        <f t="shared" si="63"/>
        <v>0</v>
      </c>
      <c r="T223" s="259"/>
      <c r="U223" s="197"/>
    </row>
    <row r="224" s="238" customFormat="1">
      <c r="A224" s="282" t="s">
        <v>655</v>
      </c>
      <c r="B224" s="335" t="s">
        <v>656</v>
      </c>
      <c r="C224" s="284" t="s">
        <v>354</v>
      </c>
      <c r="D224" s="324"/>
      <c r="E224" s="325">
        <f t="shared" ref="E224:Q224" si="65">E225+E226+E227</f>
        <v>0</v>
      </c>
      <c r="F224" s="381">
        <f t="shared" si="65"/>
        <v>0</v>
      </c>
      <c r="G224" s="382">
        <f t="shared" si="65"/>
        <v>0</v>
      </c>
      <c r="H224" s="381">
        <f t="shared" si="65"/>
        <v>0</v>
      </c>
      <c r="I224" s="382">
        <f t="shared" si="65"/>
        <v>0</v>
      </c>
      <c r="J224" s="381">
        <f t="shared" si="65"/>
        <v>0</v>
      </c>
      <c r="K224" s="382">
        <f t="shared" si="65"/>
        <v>0</v>
      </c>
      <c r="L224" s="381">
        <f t="shared" si="65"/>
        <v>0</v>
      </c>
      <c r="M224" s="382">
        <f t="shared" si="65"/>
        <v>0</v>
      </c>
      <c r="N224" s="381">
        <f t="shared" si="65"/>
        <v>0</v>
      </c>
      <c r="O224" s="382">
        <f t="shared" si="65"/>
        <v>0</v>
      </c>
      <c r="P224" s="381">
        <f t="shared" si="65"/>
        <v>0</v>
      </c>
      <c r="Q224" s="382">
        <f t="shared" si="65"/>
        <v>0</v>
      </c>
      <c r="R224" s="381">
        <f t="shared" si="62"/>
        <v>0</v>
      </c>
      <c r="S224" s="382">
        <f t="shared" si="63"/>
        <v>0</v>
      </c>
      <c r="T224" s="259"/>
      <c r="U224" s="197"/>
    </row>
    <row r="225" s="238" customFormat="1">
      <c r="A225" s="260" t="s">
        <v>657</v>
      </c>
      <c r="B225" s="267" t="s">
        <v>658</v>
      </c>
      <c r="C225" s="262" t="s">
        <v>354</v>
      </c>
      <c r="D225" s="263"/>
      <c r="E225" s="318">
        <v>0</v>
      </c>
      <c r="F225" s="373"/>
      <c r="G225" s="374"/>
      <c r="H225" s="373"/>
      <c r="I225" s="374"/>
      <c r="J225" s="373"/>
      <c r="K225" s="374"/>
      <c r="L225" s="373"/>
      <c r="M225" s="374"/>
      <c r="N225" s="373"/>
      <c r="O225" s="374"/>
      <c r="P225" s="373"/>
      <c r="Q225" s="374"/>
      <c r="R225" s="373">
        <f t="shared" si="62"/>
        <v>0</v>
      </c>
      <c r="S225" s="374">
        <f t="shared" si="63"/>
        <v>0</v>
      </c>
      <c r="T225" s="259"/>
      <c r="U225" s="197"/>
    </row>
    <row r="226" s="238" customFormat="1">
      <c r="A226" s="260" t="s">
        <v>659</v>
      </c>
      <c r="B226" s="267" t="s">
        <v>660</v>
      </c>
      <c r="C226" s="262" t="s">
        <v>354</v>
      </c>
      <c r="D226" s="263"/>
      <c r="E226" s="318"/>
      <c r="F226" s="373"/>
      <c r="G226" s="374"/>
      <c r="H226" s="373"/>
      <c r="I226" s="374"/>
      <c r="J226" s="373"/>
      <c r="K226" s="374"/>
      <c r="L226" s="373"/>
      <c r="M226" s="374"/>
      <c r="N226" s="373"/>
      <c r="O226" s="374"/>
      <c r="P226" s="373"/>
      <c r="Q226" s="374"/>
      <c r="R226" s="373">
        <f t="shared" si="62"/>
        <v>0</v>
      </c>
      <c r="S226" s="374">
        <f t="shared" si="63"/>
        <v>0</v>
      </c>
      <c r="T226" s="259"/>
      <c r="U226" s="197"/>
    </row>
    <row r="227" s="238" customFormat="1">
      <c r="A227" s="260" t="s">
        <v>661</v>
      </c>
      <c r="B227" s="267" t="s">
        <v>662</v>
      </c>
      <c r="C227" s="262" t="s">
        <v>354</v>
      </c>
      <c r="D227" s="263"/>
      <c r="E227" s="318"/>
      <c r="F227" s="373"/>
      <c r="G227" s="374"/>
      <c r="H227" s="373"/>
      <c r="I227" s="374"/>
      <c r="J227" s="373"/>
      <c r="K227" s="374"/>
      <c r="L227" s="373"/>
      <c r="M227" s="374"/>
      <c r="N227" s="373"/>
      <c r="O227" s="374"/>
      <c r="P227" s="373"/>
      <c r="Q227" s="374"/>
      <c r="R227" s="373">
        <f t="shared" si="62"/>
        <v>0</v>
      </c>
      <c r="S227" s="374">
        <f t="shared" si="63"/>
        <v>0</v>
      </c>
      <c r="T227" s="259"/>
      <c r="U227" s="197"/>
    </row>
    <row r="228" s="238" customFormat="1">
      <c r="A228" s="260" t="s">
        <v>663</v>
      </c>
      <c r="B228" s="289" t="s">
        <v>664</v>
      </c>
      <c r="C228" s="262" t="s">
        <v>354</v>
      </c>
      <c r="D228" s="263"/>
      <c r="E228" s="318"/>
      <c r="F228" s="373"/>
      <c r="G228" s="374"/>
      <c r="H228" s="373"/>
      <c r="I228" s="374"/>
      <c r="J228" s="373"/>
      <c r="K228" s="374"/>
      <c r="L228" s="373"/>
      <c r="M228" s="374"/>
      <c r="N228" s="373"/>
      <c r="O228" s="374"/>
      <c r="P228" s="373"/>
      <c r="Q228" s="374"/>
      <c r="R228" s="373">
        <f t="shared" si="62"/>
        <v>0</v>
      </c>
      <c r="S228" s="374">
        <f t="shared" si="63"/>
        <v>0</v>
      </c>
      <c r="T228" s="259"/>
      <c r="U228" s="197"/>
    </row>
    <row r="229" s="238" customFormat="1" ht="16.5" customHeight="1">
      <c r="A229" s="260" t="s">
        <v>665</v>
      </c>
      <c r="B229" s="289" t="s">
        <v>666</v>
      </c>
      <c r="C229" s="262" t="s">
        <v>354</v>
      </c>
      <c r="D229" s="263"/>
      <c r="E229" s="318"/>
      <c r="F229" s="373"/>
      <c r="G229" s="374"/>
      <c r="H229" s="373"/>
      <c r="I229" s="374"/>
      <c r="J229" s="373"/>
      <c r="K229" s="374"/>
      <c r="L229" s="373"/>
      <c r="M229" s="374"/>
      <c r="N229" s="373"/>
      <c r="O229" s="374"/>
      <c r="P229" s="373"/>
      <c r="Q229" s="374"/>
      <c r="R229" s="373">
        <f t="shared" si="62"/>
        <v>0</v>
      </c>
      <c r="S229" s="374">
        <f t="shared" si="63"/>
        <v>0</v>
      </c>
      <c r="T229" s="259"/>
      <c r="U229" s="197"/>
    </row>
    <row r="230" s="238" customFormat="1">
      <c r="A230" s="260" t="s">
        <v>667</v>
      </c>
      <c r="B230" s="267" t="s">
        <v>668</v>
      </c>
      <c r="C230" s="262" t="s">
        <v>354</v>
      </c>
      <c r="D230" s="263"/>
      <c r="E230" s="318"/>
      <c r="F230" s="373"/>
      <c r="G230" s="374"/>
      <c r="H230" s="373"/>
      <c r="I230" s="374"/>
      <c r="J230" s="373"/>
      <c r="K230" s="374"/>
      <c r="L230" s="373"/>
      <c r="M230" s="374"/>
      <c r="N230" s="373"/>
      <c r="O230" s="374"/>
      <c r="P230" s="373"/>
      <c r="Q230" s="374"/>
      <c r="R230" s="373">
        <f t="shared" si="62"/>
        <v>0</v>
      </c>
      <c r="S230" s="374">
        <f t="shared" si="63"/>
        <v>0</v>
      </c>
      <c r="T230" s="259"/>
      <c r="U230" s="197"/>
    </row>
    <row r="231" s="238" customFormat="1">
      <c r="A231" s="260" t="s">
        <v>669</v>
      </c>
      <c r="B231" s="267" t="s">
        <v>670</v>
      </c>
      <c r="C231" s="262" t="s">
        <v>354</v>
      </c>
      <c r="D231" s="263"/>
      <c r="E231" s="318"/>
      <c r="F231" s="373"/>
      <c r="G231" s="374"/>
      <c r="H231" s="373"/>
      <c r="I231" s="374"/>
      <c r="J231" s="373"/>
      <c r="K231" s="374"/>
      <c r="L231" s="373"/>
      <c r="M231" s="374"/>
      <c r="N231" s="373"/>
      <c r="O231" s="374"/>
      <c r="P231" s="373"/>
      <c r="Q231" s="374"/>
      <c r="R231" s="373">
        <f t="shared" si="62"/>
        <v>0</v>
      </c>
      <c r="S231" s="374">
        <f t="shared" si="63"/>
        <v>0</v>
      </c>
      <c r="T231" s="259"/>
      <c r="U231" s="197"/>
    </row>
    <row r="232" s="238" customFormat="1">
      <c r="A232" s="260" t="s">
        <v>671</v>
      </c>
      <c r="B232" s="289" t="s">
        <v>672</v>
      </c>
      <c r="C232" s="262" t="s">
        <v>354</v>
      </c>
      <c r="D232" s="263"/>
      <c r="E232" s="318"/>
      <c r="F232" s="373"/>
      <c r="G232" s="374"/>
      <c r="H232" s="373"/>
      <c r="I232" s="374"/>
      <c r="J232" s="373"/>
      <c r="K232" s="374"/>
      <c r="L232" s="373"/>
      <c r="M232" s="374"/>
      <c r="N232" s="373"/>
      <c r="O232" s="374"/>
      <c r="P232" s="373"/>
      <c r="Q232" s="374"/>
      <c r="R232" s="373">
        <f t="shared" si="62"/>
        <v>0</v>
      </c>
      <c r="S232" s="374">
        <f t="shared" si="63"/>
        <v>0</v>
      </c>
      <c r="T232" s="259"/>
      <c r="U232" s="197"/>
    </row>
    <row r="233" s="238" customFormat="1">
      <c r="A233" s="260" t="s">
        <v>673</v>
      </c>
      <c r="B233" s="289" t="s">
        <v>674</v>
      </c>
      <c r="C233" s="262" t="s">
        <v>354</v>
      </c>
      <c r="D233" s="263"/>
      <c r="E233" s="318"/>
      <c r="F233" s="373"/>
      <c r="G233" s="374"/>
      <c r="H233" s="373"/>
      <c r="I233" s="374"/>
      <c r="J233" s="373"/>
      <c r="K233" s="374"/>
      <c r="L233" s="373"/>
      <c r="M233" s="374"/>
      <c r="N233" s="373"/>
      <c r="O233" s="374"/>
      <c r="P233" s="373"/>
      <c r="Q233" s="374"/>
      <c r="R233" s="373">
        <f t="shared" si="62"/>
        <v>0</v>
      </c>
      <c r="S233" s="374">
        <f t="shared" si="63"/>
        <v>0</v>
      </c>
      <c r="T233" s="259"/>
      <c r="U233" s="197"/>
    </row>
    <row r="234" s="238" customFormat="1">
      <c r="A234" s="269" t="s">
        <v>675</v>
      </c>
      <c r="B234" s="362" t="s">
        <v>676</v>
      </c>
      <c r="C234" s="271" t="s">
        <v>354</v>
      </c>
      <c r="D234" s="272"/>
      <c r="E234" s="320"/>
      <c r="F234" s="378"/>
      <c r="G234" s="379"/>
      <c r="H234" s="378"/>
      <c r="I234" s="379"/>
      <c r="J234" s="378"/>
      <c r="K234" s="379"/>
      <c r="L234" s="378"/>
      <c r="M234" s="379"/>
      <c r="N234" s="378"/>
      <c r="O234" s="379"/>
      <c r="P234" s="378"/>
      <c r="Q234" s="379"/>
      <c r="R234" s="378">
        <f t="shared" si="62"/>
        <v>0</v>
      </c>
      <c r="S234" s="379">
        <f t="shared" si="63"/>
        <v>0</v>
      </c>
      <c r="T234" s="259"/>
      <c r="U234" s="197"/>
    </row>
    <row r="235" s="238" customFormat="1">
      <c r="A235" s="252" t="s">
        <v>677</v>
      </c>
      <c r="B235" s="253" t="s">
        <v>678</v>
      </c>
      <c r="C235" s="254" t="s">
        <v>354</v>
      </c>
      <c r="D235" s="392"/>
      <c r="E235" s="370">
        <f t="shared" ref="E235:Q235" si="66">E236+E237+E241+E242</f>
        <v>0</v>
      </c>
      <c r="F235" s="371">
        <f t="shared" si="66"/>
        <v>0</v>
      </c>
      <c r="G235" s="372">
        <f t="shared" si="66"/>
        <v>0</v>
      </c>
      <c r="H235" s="371">
        <f t="shared" si="66"/>
        <v>0</v>
      </c>
      <c r="I235" s="372">
        <f t="shared" si="66"/>
        <v>0</v>
      </c>
      <c r="J235" s="371">
        <f t="shared" si="66"/>
        <v>0</v>
      </c>
      <c r="K235" s="372">
        <f t="shared" si="66"/>
        <v>0</v>
      </c>
      <c r="L235" s="371">
        <f t="shared" si="66"/>
        <v>0</v>
      </c>
      <c r="M235" s="372">
        <f t="shared" si="66"/>
        <v>0</v>
      </c>
      <c r="N235" s="371">
        <f t="shared" si="66"/>
        <v>0</v>
      </c>
      <c r="O235" s="372">
        <f t="shared" si="66"/>
        <v>0</v>
      </c>
      <c r="P235" s="371">
        <f t="shared" si="66"/>
        <v>0</v>
      </c>
      <c r="Q235" s="372">
        <f t="shared" si="66"/>
        <v>0</v>
      </c>
      <c r="R235" s="371">
        <f t="shared" si="62"/>
        <v>0</v>
      </c>
      <c r="S235" s="372">
        <f t="shared" si="63"/>
        <v>0</v>
      </c>
      <c r="T235" s="259"/>
      <c r="U235" s="197"/>
    </row>
    <row r="236" s="238" customFormat="1">
      <c r="A236" s="260" t="s">
        <v>679</v>
      </c>
      <c r="B236" s="289" t="s">
        <v>680</v>
      </c>
      <c r="C236" s="262" t="s">
        <v>354</v>
      </c>
      <c r="D236" s="263"/>
      <c r="E236" s="318"/>
      <c r="F236" s="373"/>
      <c r="G236" s="374"/>
      <c r="H236" s="373"/>
      <c r="I236" s="374"/>
      <c r="J236" s="373"/>
      <c r="K236" s="374"/>
      <c r="L236" s="373"/>
      <c r="M236" s="374"/>
      <c r="N236" s="373"/>
      <c r="O236" s="374"/>
      <c r="P236" s="373"/>
      <c r="Q236" s="374"/>
      <c r="R236" s="373">
        <f t="shared" si="62"/>
        <v>0</v>
      </c>
      <c r="S236" s="374">
        <f t="shared" si="63"/>
        <v>0</v>
      </c>
      <c r="T236" s="259"/>
      <c r="U236" s="197"/>
    </row>
    <row r="237" s="238" customFormat="1">
      <c r="A237" s="282" t="s">
        <v>681</v>
      </c>
      <c r="B237" s="335" t="s">
        <v>682</v>
      </c>
      <c r="C237" s="284" t="s">
        <v>354</v>
      </c>
      <c r="D237" s="324"/>
      <c r="E237" s="393">
        <f t="shared" ref="E237:Q237" si="67">E238+E239+E240</f>
        <v>0</v>
      </c>
      <c r="F237" s="381">
        <f t="shared" si="67"/>
        <v>0</v>
      </c>
      <c r="G237" s="382">
        <f t="shared" si="67"/>
        <v>0</v>
      </c>
      <c r="H237" s="381">
        <f t="shared" si="67"/>
        <v>0</v>
      </c>
      <c r="I237" s="382">
        <f t="shared" si="67"/>
        <v>0</v>
      </c>
      <c r="J237" s="381">
        <f t="shared" si="67"/>
        <v>0</v>
      </c>
      <c r="K237" s="382">
        <f t="shared" si="67"/>
        <v>0</v>
      </c>
      <c r="L237" s="381">
        <f t="shared" si="67"/>
        <v>0</v>
      </c>
      <c r="M237" s="382">
        <f t="shared" si="67"/>
        <v>0</v>
      </c>
      <c r="N237" s="381">
        <f t="shared" si="67"/>
        <v>0</v>
      </c>
      <c r="O237" s="382">
        <f t="shared" si="67"/>
        <v>0</v>
      </c>
      <c r="P237" s="381">
        <f t="shared" si="67"/>
        <v>0</v>
      </c>
      <c r="Q237" s="382">
        <f t="shared" si="67"/>
        <v>0</v>
      </c>
      <c r="R237" s="381">
        <f t="shared" si="62"/>
        <v>0</v>
      </c>
      <c r="S237" s="382">
        <f t="shared" si="63"/>
        <v>0</v>
      </c>
      <c r="T237" s="259"/>
      <c r="U237" s="197"/>
    </row>
    <row r="238" s="238" customFormat="1">
      <c r="A238" s="260" t="s">
        <v>683</v>
      </c>
      <c r="B238" s="267" t="s">
        <v>658</v>
      </c>
      <c r="C238" s="262" t="s">
        <v>354</v>
      </c>
      <c r="D238" s="263"/>
      <c r="E238" s="376">
        <v>0</v>
      </c>
      <c r="F238" s="373"/>
      <c r="G238" s="374"/>
      <c r="H238" s="373"/>
      <c r="I238" s="374"/>
      <c r="J238" s="373"/>
      <c r="K238" s="374"/>
      <c r="L238" s="373"/>
      <c r="M238" s="374"/>
      <c r="N238" s="373"/>
      <c r="O238" s="374"/>
      <c r="P238" s="373"/>
      <c r="Q238" s="374"/>
      <c r="R238" s="373">
        <f t="shared" si="62"/>
        <v>0</v>
      </c>
      <c r="S238" s="374">
        <f t="shared" si="63"/>
        <v>0</v>
      </c>
      <c r="T238" s="259"/>
      <c r="U238" s="197"/>
    </row>
    <row r="239" s="238" customFormat="1">
      <c r="A239" s="260" t="s">
        <v>684</v>
      </c>
      <c r="B239" s="267" t="s">
        <v>660</v>
      </c>
      <c r="C239" s="262" t="s">
        <v>354</v>
      </c>
      <c r="D239" s="263"/>
      <c r="E239" s="318"/>
      <c r="F239" s="373"/>
      <c r="G239" s="374"/>
      <c r="H239" s="373"/>
      <c r="I239" s="374"/>
      <c r="J239" s="373"/>
      <c r="K239" s="374"/>
      <c r="L239" s="373"/>
      <c r="M239" s="374"/>
      <c r="N239" s="373"/>
      <c r="O239" s="374"/>
      <c r="P239" s="373"/>
      <c r="Q239" s="374"/>
      <c r="R239" s="373">
        <f t="shared" si="62"/>
        <v>0</v>
      </c>
      <c r="S239" s="374">
        <f t="shared" si="63"/>
        <v>0</v>
      </c>
      <c r="T239" s="259"/>
      <c r="U239" s="197"/>
    </row>
    <row r="240" s="238" customFormat="1">
      <c r="A240" s="260" t="s">
        <v>685</v>
      </c>
      <c r="B240" s="267" t="s">
        <v>662</v>
      </c>
      <c r="C240" s="262" t="s">
        <v>354</v>
      </c>
      <c r="D240" s="263"/>
      <c r="E240" s="318"/>
      <c r="F240" s="373"/>
      <c r="G240" s="374"/>
      <c r="H240" s="373"/>
      <c r="I240" s="374"/>
      <c r="J240" s="373"/>
      <c r="K240" s="374"/>
      <c r="L240" s="373"/>
      <c r="M240" s="374"/>
      <c r="N240" s="373"/>
      <c r="O240" s="374"/>
      <c r="P240" s="373"/>
      <c r="Q240" s="374"/>
      <c r="R240" s="373">
        <f t="shared" si="62"/>
        <v>0</v>
      </c>
      <c r="S240" s="374">
        <f t="shared" si="63"/>
        <v>0</v>
      </c>
      <c r="T240" s="259"/>
      <c r="U240" s="197"/>
    </row>
    <row r="241" s="238" customFormat="1">
      <c r="A241" s="260" t="s">
        <v>686</v>
      </c>
      <c r="B241" s="289" t="s">
        <v>58</v>
      </c>
      <c r="C241" s="262" t="s">
        <v>354</v>
      </c>
      <c r="D241" s="263"/>
      <c r="E241" s="318"/>
      <c r="F241" s="373"/>
      <c r="G241" s="374"/>
      <c r="H241" s="373"/>
      <c r="I241" s="374"/>
      <c r="J241" s="373"/>
      <c r="K241" s="374"/>
      <c r="L241" s="373"/>
      <c r="M241" s="374"/>
      <c r="N241" s="373"/>
      <c r="O241" s="374"/>
      <c r="P241" s="373"/>
      <c r="Q241" s="374"/>
      <c r="R241" s="373">
        <f t="shared" si="62"/>
        <v>0</v>
      </c>
      <c r="S241" s="374">
        <f t="shared" si="63"/>
        <v>0</v>
      </c>
      <c r="T241" s="259"/>
      <c r="U241" s="197"/>
    </row>
    <row r="242" s="238" customFormat="1">
      <c r="A242" s="269" t="s">
        <v>687</v>
      </c>
      <c r="B242" s="362" t="s">
        <v>688</v>
      </c>
      <c r="C242" s="271" t="s">
        <v>354</v>
      </c>
      <c r="D242" s="272"/>
      <c r="E242" s="320">
        <v>0</v>
      </c>
      <c r="F242" s="378"/>
      <c r="G242" s="379"/>
      <c r="H242" s="378"/>
      <c r="I242" s="379"/>
      <c r="J242" s="378"/>
      <c r="K242" s="379"/>
      <c r="L242" s="378"/>
      <c r="M242" s="379"/>
      <c r="N242" s="378"/>
      <c r="O242" s="379"/>
      <c r="P242" s="378"/>
      <c r="Q242" s="379"/>
      <c r="R242" s="378">
        <f t="shared" si="62"/>
        <v>0</v>
      </c>
      <c r="S242" s="379">
        <f t="shared" si="63"/>
        <v>0</v>
      </c>
      <c r="T242" s="259"/>
      <c r="U242" s="197"/>
    </row>
    <row r="243" s="238" customFormat="1">
      <c r="A243" s="394" t="s">
        <v>689</v>
      </c>
      <c r="B243" s="395" t="s">
        <v>690</v>
      </c>
      <c r="C243" s="396" t="s">
        <v>354</v>
      </c>
      <c r="D243" s="397"/>
      <c r="E243" s="398">
        <f>E167-E185</f>
        <v>-3.2717799999999997</v>
      </c>
      <c r="F243" s="399">
        <f>F167-F185</f>
        <v>0</v>
      </c>
      <c r="G243" s="400">
        <f>G167-G185</f>
        <v>0</v>
      </c>
      <c r="H243" s="399">
        <f>H167-H185</f>
        <v>0.41699999999999804</v>
      </c>
      <c r="I243" s="400">
        <f>I167-I185</f>
        <v>0.41699999999999804</v>
      </c>
      <c r="J243" s="399">
        <f t="shared" ref="J243:Q243" si="68">J167-J185</f>
        <v>0.39699999999999847</v>
      </c>
      <c r="K243" s="400">
        <f t="shared" si="68"/>
        <v>0.39699999999999847</v>
      </c>
      <c r="L243" s="399">
        <f>L167-L185</f>
        <v>1.1627999999999936</v>
      </c>
      <c r="M243" s="400">
        <f t="shared" si="68"/>
        <v>1.1627999999999936</v>
      </c>
      <c r="N243" s="399">
        <f t="shared" si="68"/>
        <v>1.6820335999999898</v>
      </c>
      <c r="O243" s="400">
        <f t="shared" si="68"/>
        <v>1.6822335999999893</v>
      </c>
      <c r="P243" s="399">
        <f>P167-P185</f>
        <v>5.6185493439999874</v>
      </c>
      <c r="Q243" s="400">
        <f t="shared" si="68"/>
        <v>0.6132053439999936</v>
      </c>
      <c r="R243" s="399">
        <f t="shared" si="62"/>
        <v>9.2773829439999673</v>
      </c>
      <c r="S243" s="400">
        <f t="shared" si="63"/>
        <v>4.2722389439999731</v>
      </c>
      <c r="T243" s="259"/>
      <c r="U243" s="197"/>
    </row>
    <row r="244" s="238" customFormat="1">
      <c r="A244" s="340" t="s">
        <v>691</v>
      </c>
      <c r="B244" s="341" t="s">
        <v>692</v>
      </c>
      <c r="C244" s="342" t="s">
        <v>354</v>
      </c>
      <c r="D244" s="391"/>
      <c r="E244" s="388"/>
      <c r="F244" s="389">
        <f>F203-F210</f>
        <v>0</v>
      </c>
      <c r="G244" s="390"/>
      <c r="H244" s="389"/>
      <c r="I244" s="390"/>
      <c r="J244" s="389"/>
      <c r="K244" s="390"/>
      <c r="L244" s="389"/>
      <c r="M244" s="390"/>
      <c r="N244" s="389"/>
      <c r="O244" s="390"/>
      <c r="P244" s="389"/>
      <c r="Q244" s="390"/>
      <c r="R244" s="389">
        <f t="shared" si="62"/>
        <v>0</v>
      </c>
      <c r="S244" s="390">
        <f t="shared" si="63"/>
        <v>0</v>
      </c>
      <c r="T244" s="259"/>
      <c r="U244" s="197"/>
    </row>
    <row r="245" s="238" customFormat="1">
      <c r="A245" s="260" t="s">
        <v>693</v>
      </c>
      <c r="B245" s="289" t="s">
        <v>694</v>
      </c>
      <c r="C245" s="262" t="s">
        <v>354</v>
      </c>
      <c r="D245" s="375"/>
      <c r="E245" s="376"/>
      <c r="F245" s="373">
        <f>F244</f>
        <v>0</v>
      </c>
      <c r="G245" s="374"/>
      <c r="H245" s="373"/>
      <c r="I245" s="374"/>
      <c r="J245" s="373"/>
      <c r="K245" s="374"/>
      <c r="L245" s="373"/>
      <c r="M245" s="374"/>
      <c r="N245" s="373"/>
      <c r="O245" s="374"/>
      <c r="P245" s="373"/>
      <c r="Q245" s="374"/>
      <c r="R245" s="373">
        <f t="shared" si="62"/>
        <v>0</v>
      </c>
      <c r="S245" s="374">
        <f t="shared" si="63"/>
        <v>0</v>
      </c>
      <c r="T245" s="259"/>
      <c r="U245" s="197"/>
    </row>
    <row r="246" s="238" customFormat="1">
      <c r="A246" s="269" t="s">
        <v>695</v>
      </c>
      <c r="B246" s="362" t="s">
        <v>696</v>
      </c>
      <c r="C246" s="271" t="s">
        <v>354</v>
      </c>
      <c r="D246" s="272"/>
      <c r="E246" s="377"/>
      <c r="F246" s="378"/>
      <c r="G246" s="379"/>
      <c r="H246" s="378"/>
      <c r="I246" s="379"/>
      <c r="J246" s="378"/>
      <c r="K246" s="379"/>
      <c r="L246" s="378"/>
      <c r="M246" s="379"/>
      <c r="N246" s="378"/>
      <c r="O246" s="379"/>
      <c r="P246" s="378"/>
      <c r="Q246" s="379"/>
      <c r="R246" s="378">
        <f t="shared" si="62"/>
        <v>0</v>
      </c>
      <c r="S246" s="379">
        <f t="shared" si="63"/>
        <v>0</v>
      </c>
      <c r="T246" s="259"/>
      <c r="U246" s="197"/>
    </row>
    <row r="247" s="238" customFormat="1">
      <c r="A247" s="252" t="s">
        <v>697</v>
      </c>
      <c r="B247" s="253" t="s">
        <v>698</v>
      </c>
      <c r="C247" s="254" t="s">
        <v>354</v>
      </c>
      <c r="D247" s="392"/>
      <c r="E247" s="370">
        <f>E222-E235</f>
        <v>0</v>
      </c>
      <c r="F247" s="371">
        <f>F222-F224</f>
        <v>0</v>
      </c>
      <c r="G247" s="372">
        <f t="shared" ref="G247:Q247" si="69">G222-G224</f>
        <v>0</v>
      </c>
      <c r="H247" s="371">
        <f t="shared" si="69"/>
        <v>0</v>
      </c>
      <c r="I247" s="372">
        <f t="shared" si="69"/>
        <v>0</v>
      </c>
      <c r="J247" s="371">
        <f t="shared" si="69"/>
        <v>0</v>
      </c>
      <c r="K247" s="372">
        <f t="shared" si="69"/>
        <v>0</v>
      </c>
      <c r="L247" s="371">
        <f t="shared" si="69"/>
        <v>0</v>
      </c>
      <c r="M247" s="372">
        <f t="shared" si="69"/>
        <v>0</v>
      </c>
      <c r="N247" s="371">
        <f t="shared" si="69"/>
        <v>0</v>
      </c>
      <c r="O247" s="372">
        <f t="shared" si="69"/>
        <v>0</v>
      </c>
      <c r="P247" s="371">
        <f t="shared" si="69"/>
        <v>0</v>
      </c>
      <c r="Q247" s="372">
        <f t="shared" si="69"/>
        <v>0</v>
      </c>
      <c r="R247" s="371">
        <f t="shared" si="62"/>
        <v>0</v>
      </c>
      <c r="S247" s="372">
        <f t="shared" si="63"/>
        <v>0</v>
      </c>
      <c r="T247" s="259"/>
      <c r="U247" s="197"/>
    </row>
    <row r="248" s="238" customFormat="1">
      <c r="A248" s="282" t="s">
        <v>699</v>
      </c>
      <c r="B248" s="335" t="s">
        <v>700</v>
      </c>
      <c r="C248" s="284" t="s">
        <v>354</v>
      </c>
      <c r="D248" s="324"/>
      <c r="E248" s="393">
        <f t="shared" ref="E248:Q248" si="70">E224-E237</f>
        <v>0</v>
      </c>
      <c r="F248" s="381">
        <f t="shared" si="70"/>
        <v>0</v>
      </c>
      <c r="G248" s="382">
        <f t="shared" si="70"/>
        <v>0</v>
      </c>
      <c r="H248" s="381">
        <f t="shared" si="70"/>
        <v>0</v>
      </c>
      <c r="I248" s="382">
        <f t="shared" si="70"/>
        <v>0</v>
      </c>
      <c r="J248" s="381">
        <f t="shared" si="70"/>
        <v>0</v>
      </c>
      <c r="K248" s="382">
        <f t="shared" si="70"/>
        <v>0</v>
      </c>
      <c r="L248" s="381">
        <f t="shared" si="70"/>
        <v>0</v>
      </c>
      <c r="M248" s="382">
        <f t="shared" si="70"/>
        <v>0</v>
      </c>
      <c r="N248" s="381">
        <f t="shared" si="70"/>
        <v>0</v>
      </c>
      <c r="O248" s="382">
        <f t="shared" si="70"/>
        <v>0</v>
      </c>
      <c r="P248" s="381">
        <f t="shared" si="70"/>
        <v>0</v>
      </c>
      <c r="Q248" s="382">
        <f t="shared" si="70"/>
        <v>0</v>
      </c>
      <c r="R248" s="381">
        <f t="shared" si="62"/>
        <v>0</v>
      </c>
      <c r="S248" s="382">
        <f t="shared" si="63"/>
        <v>0</v>
      </c>
      <c r="T248" s="259"/>
      <c r="U248" s="197"/>
    </row>
    <row r="249" s="238" customFormat="1">
      <c r="A249" s="329" t="s">
        <v>701</v>
      </c>
      <c r="B249" s="401" t="s">
        <v>702</v>
      </c>
      <c r="C249" s="331" t="s">
        <v>354</v>
      </c>
      <c r="D249" s="402"/>
      <c r="E249" s="332">
        <f t="shared" ref="E249:Q249" si="71">E234-E242</f>
        <v>0</v>
      </c>
      <c r="F249" s="403">
        <f t="shared" si="71"/>
        <v>0</v>
      </c>
      <c r="G249" s="404">
        <f t="shared" si="71"/>
        <v>0</v>
      </c>
      <c r="H249" s="403">
        <f t="shared" si="71"/>
        <v>0</v>
      </c>
      <c r="I249" s="404">
        <f t="shared" si="71"/>
        <v>0</v>
      </c>
      <c r="J249" s="403">
        <f t="shared" si="71"/>
        <v>0</v>
      </c>
      <c r="K249" s="404">
        <f t="shared" si="71"/>
        <v>0</v>
      </c>
      <c r="L249" s="403">
        <f t="shared" si="71"/>
        <v>0</v>
      </c>
      <c r="M249" s="404">
        <f t="shared" si="71"/>
        <v>0</v>
      </c>
      <c r="N249" s="403">
        <f t="shared" si="71"/>
        <v>0</v>
      </c>
      <c r="O249" s="404">
        <f t="shared" si="71"/>
        <v>0</v>
      </c>
      <c r="P249" s="403">
        <f t="shared" si="71"/>
        <v>0</v>
      </c>
      <c r="Q249" s="404">
        <f t="shared" si="71"/>
        <v>0</v>
      </c>
      <c r="R249" s="403">
        <f t="shared" si="62"/>
        <v>0</v>
      </c>
      <c r="S249" s="404">
        <f t="shared" si="63"/>
        <v>0</v>
      </c>
      <c r="T249" s="259"/>
      <c r="U249" s="197"/>
    </row>
    <row r="250" s="238" customFormat="1">
      <c r="A250" s="297" t="s">
        <v>703</v>
      </c>
      <c r="B250" s="298" t="s">
        <v>704</v>
      </c>
      <c r="C250" s="299" t="s">
        <v>354</v>
      </c>
      <c r="D250" s="405"/>
      <c r="E250" s="406"/>
      <c r="F250" s="407"/>
      <c r="G250" s="408"/>
      <c r="H250" s="407"/>
      <c r="I250" s="408"/>
      <c r="J250" s="407"/>
      <c r="K250" s="408"/>
      <c r="L250" s="407"/>
      <c r="M250" s="408"/>
      <c r="N250" s="407"/>
      <c r="O250" s="408"/>
      <c r="P250" s="407"/>
      <c r="Q250" s="408"/>
      <c r="R250" s="407">
        <f t="shared" si="62"/>
        <v>0</v>
      </c>
      <c r="S250" s="408">
        <f t="shared" si="63"/>
        <v>0</v>
      </c>
      <c r="T250" s="259"/>
      <c r="U250" s="197"/>
    </row>
    <row r="251" s="238" customFormat="1">
      <c r="A251" s="394" t="s">
        <v>705</v>
      </c>
      <c r="B251" s="395" t="s">
        <v>706</v>
      </c>
      <c r="C251" s="396" t="s">
        <v>354</v>
      </c>
      <c r="D251" s="397"/>
      <c r="E251" s="398">
        <f t="shared" ref="E251:Q251" si="72">E243+E244+E247+E250</f>
        <v>-3.2717799999999997</v>
      </c>
      <c r="F251" s="399">
        <f>F243+F244+F247+F250</f>
        <v>0</v>
      </c>
      <c r="G251" s="400">
        <f t="shared" si="72"/>
        <v>0</v>
      </c>
      <c r="H251" s="399">
        <f t="shared" si="72"/>
        <v>0.41699999999999804</v>
      </c>
      <c r="I251" s="400">
        <f t="shared" si="72"/>
        <v>0.41699999999999804</v>
      </c>
      <c r="J251" s="399">
        <f t="shared" si="72"/>
        <v>0.39699999999999847</v>
      </c>
      <c r="K251" s="400">
        <f t="shared" si="72"/>
        <v>0.39699999999999847</v>
      </c>
      <c r="L251" s="399">
        <f>L243+L244+L247+L250</f>
        <v>1.1627999999999936</v>
      </c>
      <c r="M251" s="400">
        <f t="shared" si="72"/>
        <v>1.1627999999999936</v>
      </c>
      <c r="N251" s="399">
        <f t="shared" si="72"/>
        <v>1.6820335999999898</v>
      </c>
      <c r="O251" s="400">
        <f t="shared" si="72"/>
        <v>1.6822335999999893</v>
      </c>
      <c r="P251" s="399">
        <f t="shared" si="72"/>
        <v>5.6185493439999874</v>
      </c>
      <c r="Q251" s="400">
        <f t="shared" si="72"/>
        <v>0.6132053439999936</v>
      </c>
      <c r="R251" s="399">
        <f t="shared" si="62"/>
        <v>9.2773829439999673</v>
      </c>
      <c r="S251" s="400">
        <f t="shared" si="63"/>
        <v>4.2722389439999731</v>
      </c>
      <c r="T251" s="259"/>
      <c r="U251" s="197"/>
    </row>
    <row r="252" s="304" customFormat="1">
      <c r="A252" s="297" t="s">
        <v>707</v>
      </c>
      <c r="B252" s="298" t="s">
        <v>708</v>
      </c>
      <c r="C252" s="299" t="s">
        <v>354</v>
      </c>
      <c r="D252" s="405"/>
      <c r="E252" s="406">
        <v>0.48554700000000001</v>
      </c>
      <c r="F252" s="407"/>
      <c r="G252" s="408"/>
      <c r="H252" s="407">
        <v>0.98244397999999999</v>
      </c>
      <c r="I252" s="408"/>
      <c r="J252" s="407"/>
      <c r="K252" s="408"/>
      <c r="L252" s="407"/>
      <c r="M252" s="408"/>
      <c r="N252" s="407"/>
      <c r="O252" s="408"/>
      <c r="P252" s="407"/>
      <c r="Q252" s="408"/>
      <c r="R252" s="407">
        <f t="shared" si="62"/>
        <v>0.98244397999999999</v>
      </c>
      <c r="S252" s="408">
        <f t="shared" si="63"/>
        <v>0</v>
      </c>
      <c r="T252" s="259"/>
      <c r="U252" s="202"/>
    </row>
    <row r="253" s="304" customFormat="1">
      <c r="A253" s="297" t="s">
        <v>709</v>
      </c>
      <c r="B253" s="298" t="s">
        <v>251</v>
      </c>
      <c r="C253" s="299" t="s">
        <v>354</v>
      </c>
      <c r="D253" s="405"/>
      <c r="E253" s="406">
        <v>0.93575200000000003</v>
      </c>
      <c r="F253" s="407"/>
      <c r="G253" s="408"/>
      <c r="H253" s="407">
        <f>H252+H251</f>
        <v>1.399443979999998</v>
      </c>
      <c r="I253" s="408"/>
      <c r="J253" s="407"/>
      <c r="K253" s="408"/>
      <c r="L253" s="407"/>
      <c r="M253" s="408"/>
      <c r="N253" s="407"/>
      <c r="O253" s="408"/>
      <c r="P253" s="407"/>
      <c r="Q253" s="408"/>
      <c r="R253" s="407">
        <f t="shared" si="62"/>
        <v>1.399443979999998</v>
      </c>
      <c r="S253" s="408">
        <f t="shared" si="63"/>
        <v>0</v>
      </c>
      <c r="T253" s="259"/>
      <c r="U253" s="202"/>
    </row>
    <row r="254" s="238" customFormat="1">
      <c r="A254" s="340" t="s">
        <v>710</v>
      </c>
      <c r="B254" s="341" t="s">
        <v>430</v>
      </c>
      <c r="C254" s="342" t="s">
        <v>66</v>
      </c>
      <c r="D254" s="391"/>
      <c r="E254" s="388"/>
      <c r="F254" s="389"/>
      <c r="G254" s="390"/>
      <c r="H254" s="389"/>
      <c r="I254" s="390"/>
      <c r="J254" s="389"/>
      <c r="K254" s="390"/>
      <c r="L254" s="389"/>
      <c r="M254" s="390"/>
      <c r="N254" s="389"/>
      <c r="O254" s="390"/>
      <c r="P254" s="389"/>
      <c r="Q254" s="390"/>
      <c r="R254" s="389">
        <f t="shared" si="62"/>
        <v>0</v>
      </c>
      <c r="S254" s="390">
        <f t="shared" si="63"/>
        <v>0</v>
      </c>
      <c r="T254" s="259"/>
      <c r="U254" s="197"/>
    </row>
    <row r="255" s="238" customFormat="1">
      <c r="A255" s="260" t="s">
        <v>711</v>
      </c>
      <c r="B255" s="289" t="s">
        <v>712</v>
      </c>
      <c r="C255" s="262" t="s">
        <v>354</v>
      </c>
      <c r="D255" s="375"/>
      <c r="E255" s="376"/>
      <c r="F255" s="373"/>
      <c r="G255" s="374"/>
      <c r="H255" s="373"/>
      <c r="I255" s="374"/>
      <c r="J255" s="373"/>
      <c r="K255" s="374"/>
      <c r="L255" s="373"/>
      <c r="M255" s="374"/>
      <c r="N255" s="373"/>
      <c r="O255" s="374"/>
      <c r="P255" s="373"/>
      <c r="Q255" s="374"/>
      <c r="R255" s="373">
        <f t="shared" si="62"/>
        <v>0</v>
      </c>
      <c r="S255" s="374">
        <f t="shared" si="63"/>
        <v>0</v>
      </c>
      <c r="T255" s="259"/>
      <c r="U255" s="197"/>
    </row>
    <row r="256" s="238" customFormat="1">
      <c r="A256" s="260" t="s">
        <v>713</v>
      </c>
      <c r="B256" s="267" t="s">
        <v>714</v>
      </c>
      <c r="C256" s="262" t="s">
        <v>354</v>
      </c>
      <c r="D256" s="263"/>
      <c r="E256" s="318"/>
      <c r="F256" s="373"/>
      <c r="G256" s="374"/>
      <c r="H256" s="373"/>
      <c r="I256" s="374"/>
      <c r="J256" s="373"/>
      <c r="K256" s="374"/>
      <c r="L256" s="373"/>
      <c r="M256" s="374"/>
      <c r="N256" s="373"/>
      <c r="O256" s="374"/>
      <c r="P256" s="373"/>
      <c r="Q256" s="374"/>
      <c r="R256" s="373">
        <f t="shared" si="62"/>
        <v>0</v>
      </c>
      <c r="S256" s="374">
        <f t="shared" si="63"/>
        <v>0</v>
      </c>
      <c r="T256" s="259"/>
      <c r="U256" s="197"/>
    </row>
    <row r="257" s="238" customFormat="1">
      <c r="A257" s="260" t="s">
        <v>715</v>
      </c>
      <c r="B257" s="267" t="s">
        <v>716</v>
      </c>
      <c r="C257" s="262" t="s">
        <v>354</v>
      </c>
      <c r="D257" s="263"/>
      <c r="E257" s="318"/>
      <c r="F257" s="373"/>
      <c r="G257" s="374"/>
      <c r="H257" s="373"/>
      <c r="I257" s="374"/>
      <c r="J257" s="373"/>
      <c r="K257" s="374"/>
      <c r="L257" s="373"/>
      <c r="M257" s="374"/>
      <c r="N257" s="373"/>
      <c r="O257" s="374"/>
      <c r="P257" s="373"/>
      <c r="Q257" s="374"/>
      <c r="R257" s="373">
        <f t="shared" si="62"/>
        <v>0</v>
      </c>
      <c r="S257" s="374">
        <f t="shared" si="63"/>
        <v>0</v>
      </c>
      <c r="T257" s="259"/>
      <c r="U257" s="197"/>
    </row>
    <row r="258" s="238" customFormat="1">
      <c r="A258" s="260" t="s">
        <v>717</v>
      </c>
      <c r="B258" s="267" t="s">
        <v>718</v>
      </c>
      <c r="C258" s="262" t="s">
        <v>354</v>
      </c>
      <c r="D258" s="263"/>
      <c r="E258" s="318"/>
      <c r="F258" s="373"/>
      <c r="G258" s="374"/>
      <c r="H258" s="373"/>
      <c r="I258" s="374"/>
      <c r="J258" s="373"/>
      <c r="K258" s="374"/>
      <c r="L258" s="373"/>
      <c r="M258" s="374"/>
      <c r="N258" s="373"/>
      <c r="O258" s="374"/>
      <c r="P258" s="373"/>
      <c r="Q258" s="374"/>
      <c r="R258" s="373">
        <f t="shared" si="62"/>
        <v>0</v>
      </c>
      <c r="S258" s="374">
        <f t="shared" si="63"/>
        <v>0</v>
      </c>
      <c r="T258" s="259"/>
      <c r="U258" s="197"/>
    </row>
    <row r="259" s="238" customFormat="1">
      <c r="A259" s="260" t="s">
        <v>719</v>
      </c>
      <c r="B259" s="289" t="s">
        <v>716</v>
      </c>
      <c r="C259" s="262" t="s">
        <v>354</v>
      </c>
      <c r="D259" s="263"/>
      <c r="E259" s="318"/>
      <c r="F259" s="373"/>
      <c r="G259" s="374"/>
      <c r="H259" s="373"/>
      <c r="I259" s="374"/>
      <c r="J259" s="373"/>
      <c r="K259" s="374"/>
      <c r="L259" s="373"/>
      <c r="M259" s="374"/>
      <c r="N259" s="373"/>
      <c r="O259" s="374"/>
      <c r="P259" s="373"/>
      <c r="Q259" s="374"/>
      <c r="R259" s="373">
        <f t="shared" si="62"/>
        <v>0</v>
      </c>
      <c r="S259" s="374">
        <f t="shared" si="63"/>
        <v>0</v>
      </c>
      <c r="T259" s="259"/>
      <c r="U259" s="197"/>
    </row>
    <row r="260" s="238" customFormat="1">
      <c r="A260" s="260" t="s">
        <v>720</v>
      </c>
      <c r="B260" s="267" t="s">
        <v>357</v>
      </c>
      <c r="C260" s="262" t="s">
        <v>354</v>
      </c>
      <c r="D260" s="263"/>
      <c r="E260" s="318"/>
      <c r="F260" s="373"/>
      <c r="G260" s="374"/>
      <c r="H260" s="373"/>
      <c r="I260" s="374"/>
      <c r="J260" s="373"/>
      <c r="K260" s="374"/>
      <c r="L260" s="373"/>
      <c r="M260" s="374"/>
      <c r="N260" s="373"/>
      <c r="O260" s="374"/>
      <c r="P260" s="373"/>
      <c r="Q260" s="374"/>
      <c r="R260" s="373">
        <f t="shared" si="62"/>
        <v>0</v>
      </c>
      <c r="S260" s="374">
        <f t="shared" si="63"/>
        <v>0</v>
      </c>
      <c r="T260" s="259"/>
      <c r="U260" s="197"/>
    </row>
    <row r="261" s="238" customFormat="1">
      <c r="A261" s="260" t="s">
        <v>721</v>
      </c>
      <c r="B261" s="289" t="s">
        <v>716</v>
      </c>
      <c r="C261" s="262" t="s">
        <v>354</v>
      </c>
      <c r="D261" s="263"/>
      <c r="E261" s="318"/>
      <c r="F261" s="373"/>
      <c r="G261" s="374"/>
      <c r="H261" s="373"/>
      <c r="I261" s="374"/>
      <c r="J261" s="373"/>
      <c r="K261" s="374"/>
      <c r="L261" s="373"/>
      <c r="M261" s="374"/>
      <c r="N261" s="373"/>
      <c r="O261" s="374"/>
      <c r="P261" s="373"/>
      <c r="Q261" s="374"/>
      <c r="R261" s="373">
        <f t="shared" si="62"/>
        <v>0</v>
      </c>
      <c r="S261" s="374">
        <f t="shared" si="63"/>
        <v>0</v>
      </c>
      <c r="T261" s="259"/>
      <c r="U261" s="197"/>
    </row>
    <row r="262" s="238" customFormat="1">
      <c r="A262" s="260" t="s">
        <v>722</v>
      </c>
      <c r="B262" s="267" t="s">
        <v>358</v>
      </c>
      <c r="C262" s="262" t="s">
        <v>354</v>
      </c>
      <c r="D262" s="263"/>
      <c r="E262" s="318"/>
      <c r="F262" s="373"/>
      <c r="G262" s="374"/>
      <c r="H262" s="373"/>
      <c r="I262" s="374"/>
      <c r="J262" s="373"/>
      <c r="K262" s="374"/>
      <c r="L262" s="373"/>
      <c r="M262" s="374"/>
      <c r="N262" s="373"/>
      <c r="O262" s="374"/>
      <c r="P262" s="373"/>
      <c r="Q262" s="374"/>
      <c r="R262" s="373">
        <f t="shared" si="62"/>
        <v>0</v>
      </c>
      <c r="S262" s="374">
        <f t="shared" si="63"/>
        <v>0</v>
      </c>
      <c r="T262" s="259"/>
      <c r="U262" s="197"/>
    </row>
    <row r="263" s="238" customFormat="1">
      <c r="A263" s="260" t="s">
        <v>723</v>
      </c>
      <c r="B263" s="289" t="s">
        <v>716</v>
      </c>
      <c r="C263" s="262" t="s">
        <v>354</v>
      </c>
      <c r="D263" s="263"/>
      <c r="E263" s="318"/>
      <c r="F263" s="373"/>
      <c r="G263" s="374"/>
      <c r="H263" s="373"/>
      <c r="I263" s="374"/>
      <c r="J263" s="373"/>
      <c r="K263" s="374"/>
      <c r="L263" s="373"/>
      <c r="M263" s="374"/>
      <c r="N263" s="373"/>
      <c r="O263" s="374"/>
      <c r="P263" s="373"/>
      <c r="Q263" s="374"/>
      <c r="R263" s="373">
        <f t="shared" si="62"/>
        <v>0</v>
      </c>
      <c r="S263" s="374">
        <f t="shared" si="63"/>
        <v>0</v>
      </c>
      <c r="T263" s="259"/>
      <c r="U263" s="197"/>
    </row>
    <row r="264" s="238" customFormat="1">
      <c r="A264" s="260" t="s">
        <v>724</v>
      </c>
      <c r="B264" s="267" t="s">
        <v>725</v>
      </c>
      <c r="C264" s="262" t="s">
        <v>354</v>
      </c>
      <c r="D264" s="263"/>
      <c r="E264" s="318"/>
      <c r="F264" s="373"/>
      <c r="G264" s="374"/>
      <c r="H264" s="373"/>
      <c r="I264" s="374"/>
      <c r="J264" s="373"/>
      <c r="K264" s="374"/>
      <c r="L264" s="373"/>
      <c r="M264" s="374"/>
      <c r="N264" s="373"/>
      <c r="O264" s="374"/>
      <c r="P264" s="373"/>
      <c r="Q264" s="374"/>
      <c r="R264" s="373">
        <f t="shared" si="62"/>
        <v>0</v>
      </c>
      <c r="S264" s="374">
        <f t="shared" si="63"/>
        <v>0</v>
      </c>
      <c r="T264" s="259"/>
      <c r="U264" s="197"/>
    </row>
    <row r="265" s="238" customFormat="1">
      <c r="A265" s="260" t="s">
        <v>726</v>
      </c>
      <c r="B265" s="267" t="s">
        <v>716</v>
      </c>
      <c r="C265" s="262" t="s">
        <v>354</v>
      </c>
      <c r="D265" s="263"/>
      <c r="E265" s="318"/>
      <c r="F265" s="373"/>
      <c r="G265" s="374"/>
      <c r="H265" s="373"/>
      <c r="I265" s="374"/>
      <c r="J265" s="373"/>
      <c r="K265" s="374"/>
      <c r="L265" s="373"/>
      <c r="M265" s="374"/>
      <c r="N265" s="373"/>
      <c r="O265" s="374"/>
      <c r="P265" s="373"/>
      <c r="Q265" s="374"/>
      <c r="R265" s="373">
        <f t="shared" si="62"/>
        <v>0</v>
      </c>
      <c r="S265" s="374">
        <f t="shared" si="63"/>
        <v>0</v>
      </c>
      <c r="T265" s="259"/>
      <c r="U265" s="197"/>
    </row>
    <row r="266" s="238" customFormat="1">
      <c r="A266" s="260" t="s">
        <v>727</v>
      </c>
      <c r="B266" s="261" t="s">
        <v>728</v>
      </c>
      <c r="C266" s="262" t="s">
        <v>354</v>
      </c>
      <c r="D266" s="375"/>
      <c r="E266" s="376"/>
      <c r="F266" s="373"/>
      <c r="G266" s="374"/>
      <c r="H266" s="373"/>
      <c r="I266" s="374"/>
      <c r="J266" s="373"/>
      <c r="K266" s="374"/>
      <c r="L266" s="373"/>
      <c r="M266" s="374"/>
      <c r="N266" s="373"/>
      <c r="O266" s="374"/>
      <c r="P266" s="373"/>
      <c r="Q266" s="374"/>
      <c r="R266" s="373">
        <f t="shared" si="62"/>
        <v>0</v>
      </c>
      <c r="S266" s="374">
        <f t="shared" si="63"/>
        <v>0</v>
      </c>
      <c r="T266" s="259"/>
      <c r="U266" s="197"/>
    </row>
    <row r="267" s="238" customFormat="1">
      <c r="A267" s="260" t="s">
        <v>729</v>
      </c>
      <c r="B267" s="267" t="s">
        <v>716</v>
      </c>
      <c r="C267" s="262" t="s">
        <v>354</v>
      </c>
      <c r="D267" s="263"/>
      <c r="E267" s="376"/>
      <c r="F267" s="373"/>
      <c r="G267" s="374"/>
      <c r="H267" s="373"/>
      <c r="I267" s="374"/>
      <c r="J267" s="373"/>
      <c r="K267" s="374"/>
      <c r="L267" s="373"/>
      <c r="M267" s="374"/>
      <c r="N267" s="373"/>
      <c r="O267" s="374"/>
      <c r="P267" s="373"/>
      <c r="Q267" s="374"/>
      <c r="R267" s="373">
        <f t="shared" si="62"/>
        <v>0</v>
      </c>
      <c r="S267" s="374">
        <f t="shared" si="63"/>
        <v>0</v>
      </c>
      <c r="T267" s="259"/>
      <c r="U267" s="197"/>
    </row>
    <row r="268" s="238" customFormat="1">
      <c r="A268" s="260" t="s">
        <v>730</v>
      </c>
      <c r="B268" s="261" t="s">
        <v>731</v>
      </c>
      <c r="C268" s="262" t="s">
        <v>354</v>
      </c>
      <c r="D268" s="263"/>
      <c r="E268" s="318"/>
      <c r="F268" s="373"/>
      <c r="G268" s="374"/>
      <c r="H268" s="373"/>
      <c r="I268" s="374"/>
      <c r="J268" s="373"/>
      <c r="K268" s="374"/>
      <c r="L268" s="373"/>
      <c r="M268" s="374"/>
      <c r="N268" s="373"/>
      <c r="O268" s="374"/>
      <c r="P268" s="373"/>
      <c r="Q268" s="374"/>
      <c r="R268" s="373">
        <f t="shared" si="62"/>
        <v>0</v>
      </c>
      <c r="S268" s="374">
        <f t="shared" si="63"/>
        <v>0</v>
      </c>
      <c r="T268" s="259"/>
      <c r="U268" s="197"/>
    </row>
    <row r="269" s="238" customFormat="1">
      <c r="A269" s="260" t="s">
        <v>732</v>
      </c>
      <c r="B269" s="267" t="s">
        <v>716</v>
      </c>
      <c r="C269" s="262" t="s">
        <v>354</v>
      </c>
      <c r="D269" s="263"/>
      <c r="E269" s="318"/>
      <c r="F269" s="373"/>
      <c r="G269" s="374"/>
      <c r="H269" s="373"/>
      <c r="I269" s="374"/>
      <c r="J269" s="373"/>
      <c r="K269" s="374"/>
      <c r="L269" s="373"/>
      <c r="M269" s="374"/>
      <c r="N269" s="373"/>
      <c r="O269" s="374"/>
      <c r="P269" s="373"/>
      <c r="Q269" s="374"/>
      <c r="R269" s="373">
        <f t="shared" si="62"/>
        <v>0</v>
      </c>
      <c r="S269" s="374">
        <f t="shared" si="63"/>
        <v>0</v>
      </c>
      <c r="T269" s="259"/>
      <c r="U269" s="197"/>
    </row>
    <row r="270" s="238" customFormat="1">
      <c r="A270" s="260" t="s">
        <v>733</v>
      </c>
      <c r="B270" s="261" t="s">
        <v>734</v>
      </c>
      <c r="C270" s="262" t="s">
        <v>354</v>
      </c>
      <c r="D270" s="263"/>
      <c r="E270" s="318"/>
      <c r="F270" s="373"/>
      <c r="G270" s="374"/>
      <c r="H270" s="373"/>
      <c r="I270" s="374"/>
      <c r="J270" s="373"/>
      <c r="K270" s="374"/>
      <c r="L270" s="373"/>
      <c r="M270" s="374"/>
      <c r="N270" s="373"/>
      <c r="O270" s="374"/>
      <c r="P270" s="373"/>
      <c r="Q270" s="374"/>
      <c r="R270" s="373">
        <f t="shared" si="62"/>
        <v>0</v>
      </c>
      <c r="S270" s="374">
        <f t="shared" si="63"/>
        <v>0</v>
      </c>
      <c r="T270" s="259"/>
      <c r="U270" s="197"/>
    </row>
    <row r="271" s="238" customFormat="1">
      <c r="A271" s="260" t="s">
        <v>735</v>
      </c>
      <c r="B271" s="267" t="s">
        <v>716</v>
      </c>
      <c r="C271" s="262" t="s">
        <v>354</v>
      </c>
      <c r="D271" s="263"/>
      <c r="E271" s="318"/>
      <c r="F271" s="373"/>
      <c r="G271" s="374"/>
      <c r="H271" s="373"/>
      <c r="I271" s="374"/>
      <c r="J271" s="373"/>
      <c r="K271" s="374"/>
      <c r="L271" s="373"/>
      <c r="M271" s="374"/>
      <c r="N271" s="373"/>
      <c r="O271" s="374"/>
      <c r="P271" s="373"/>
      <c r="Q271" s="374"/>
      <c r="R271" s="373">
        <f t="shared" si="62"/>
        <v>0</v>
      </c>
      <c r="S271" s="374">
        <f t="shared" si="63"/>
        <v>0</v>
      </c>
      <c r="T271" s="259"/>
      <c r="U271" s="197"/>
    </row>
    <row r="272" s="238" customFormat="1" ht="15.75" customHeight="1">
      <c r="A272" s="260" t="s">
        <v>736</v>
      </c>
      <c r="B272" s="261" t="s">
        <v>737</v>
      </c>
      <c r="C272" s="262" t="s">
        <v>354</v>
      </c>
      <c r="D272" s="263"/>
      <c r="E272" s="318"/>
      <c r="F272" s="373"/>
      <c r="G272" s="374"/>
      <c r="H272" s="373"/>
      <c r="I272" s="374"/>
      <c r="J272" s="373"/>
      <c r="K272" s="374"/>
      <c r="L272" s="373"/>
      <c r="M272" s="374"/>
      <c r="N272" s="373"/>
      <c r="O272" s="374"/>
      <c r="P272" s="373"/>
      <c r="Q272" s="374"/>
      <c r="R272" s="373">
        <f t="shared" si="62"/>
        <v>0</v>
      </c>
      <c r="S272" s="374">
        <f t="shared" si="63"/>
        <v>0</v>
      </c>
      <c r="T272" s="259"/>
      <c r="U272" s="197"/>
    </row>
    <row r="273" s="238" customFormat="1">
      <c r="A273" s="260" t="s">
        <v>738</v>
      </c>
      <c r="B273" s="267" t="s">
        <v>716</v>
      </c>
      <c r="C273" s="262" t="s">
        <v>354</v>
      </c>
      <c r="D273" s="263"/>
      <c r="E273" s="318"/>
      <c r="F273" s="373"/>
      <c r="G273" s="374"/>
      <c r="H273" s="373"/>
      <c r="I273" s="374"/>
      <c r="J273" s="373"/>
      <c r="K273" s="374"/>
      <c r="L273" s="373"/>
      <c r="M273" s="374"/>
      <c r="N273" s="373"/>
      <c r="O273" s="374"/>
      <c r="P273" s="373"/>
      <c r="Q273" s="374"/>
      <c r="R273" s="373">
        <f t="shared" si="62"/>
        <v>0</v>
      </c>
      <c r="S273" s="374">
        <f t="shared" si="63"/>
        <v>0</v>
      </c>
      <c r="T273" s="259"/>
      <c r="U273" s="197"/>
    </row>
    <row r="274" s="238" customFormat="1">
      <c r="A274" s="260" t="s">
        <v>736</v>
      </c>
      <c r="B274" s="261" t="s">
        <v>739</v>
      </c>
      <c r="C274" s="262" t="s">
        <v>354</v>
      </c>
      <c r="D274" s="263"/>
      <c r="E274" s="318"/>
      <c r="F274" s="373"/>
      <c r="G274" s="374"/>
      <c r="H274" s="373"/>
      <c r="I274" s="374"/>
      <c r="J274" s="373"/>
      <c r="K274" s="374"/>
      <c r="L274" s="373"/>
      <c r="M274" s="374"/>
      <c r="N274" s="373"/>
      <c r="O274" s="374"/>
      <c r="P274" s="373"/>
      <c r="Q274" s="374"/>
      <c r="R274" s="373">
        <f t="shared" si="62"/>
        <v>0</v>
      </c>
      <c r="S274" s="374">
        <f t="shared" si="63"/>
        <v>0</v>
      </c>
      <c r="T274" s="259"/>
      <c r="U274" s="197"/>
    </row>
    <row r="275" s="238" customFormat="1">
      <c r="A275" s="260" t="s">
        <v>740</v>
      </c>
      <c r="B275" s="267" t="s">
        <v>716</v>
      </c>
      <c r="C275" s="262" t="s">
        <v>354</v>
      </c>
      <c r="D275" s="263"/>
      <c r="E275" s="318"/>
      <c r="F275" s="373"/>
      <c r="G275" s="374"/>
      <c r="H275" s="373"/>
      <c r="I275" s="374"/>
      <c r="J275" s="373"/>
      <c r="K275" s="374"/>
      <c r="L275" s="373"/>
      <c r="M275" s="374"/>
      <c r="N275" s="373"/>
      <c r="O275" s="374"/>
      <c r="P275" s="373"/>
      <c r="Q275" s="374"/>
      <c r="R275" s="373">
        <f t="shared" si="62"/>
        <v>0</v>
      </c>
      <c r="S275" s="374">
        <f t="shared" si="63"/>
        <v>0</v>
      </c>
      <c r="T275" s="259"/>
      <c r="U275" s="197"/>
    </row>
    <row r="276" s="238" customFormat="1">
      <c r="A276" s="260" t="s">
        <v>741</v>
      </c>
      <c r="B276" s="267" t="s">
        <v>742</v>
      </c>
      <c r="C276" s="262" t="s">
        <v>354</v>
      </c>
      <c r="D276" s="263"/>
      <c r="E276" s="318"/>
      <c r="F276" s="373"/>
      <c r="G276" s="374"/>
      <c r="H276" s="373"/>
      <c r="I276" s="374"/>
      <c r="J276" s="373"/>
      <c r="K276" s="374"/>
      <c r="L276" s="373"/>
      <c r="M276" s="374"/>
      <c r="N276" s="373"/>
      <c r="O276" s="374"/>
      <c r="P276" s="373"/>
      <c r="Q276" s="374"/>
      <c r="R276" s="373">
        <f t="shared" si="62"/>
        <v>0</v>
      </c>
      <c r="S276" s="374">
        <f t="shared" si="63"/>
        <v>0</v>
      </c>
      <c r="T276" s="259"/>
      <c r="U276" s="197"/>
    </row>
    <row r="277" s="238" customFormat="1">
      <c r="A277" s="260" t="s">
        <v>743</v>
      </c>
      <c r="B277" s="267" t="s">
        <v>716</v>
      </c>
      <c r="C277" s="262" t="s">
        <v>354</v>
      </c>
      <c r="D277" s="263"/>
      <c r="E277" s="318"/>
      <c r="F277" s="373"/>
      <c r="G277" s="374"/>
      <c r="H277" s="373"/>
      <c r="I277" s="374"/>
      <c r="J277" s="373"/>
      <c r="K277" s="374"/>
      <c r="L277" s="373"/>
      <c r="M277" s="374"/>
      <c r="N277" s="373"/>
      <c r="O277" s="374"/>
      <c r="P277" s="373"/>
      <c r="Q277" s="374"/>
      <c r="R277" s="373">
        <f t="shared" si="62"/>
        <v>0</v>
      </c>
      <c r="S277" s="374">
        <f t="shared" si="63"/>
        <v>0</v>
      </c>
      <c r="T277" s="259"/>
      <c r="U277" s="197"/>
    </row>
    <row r="278" s="238" customFormat="1">
      <c r="A278" s="260" t="s">
        <v>744</v>
      </c>
      <c r="B278" s="267" t="s">
        <v>370</v>
      </c>
      <c r="C278" s="262" t="s">
        <v>354</v>
      </c>
      <c r="D278" s="263"/>
      <c r="E278" s="318"/>
      <c r="F278" s="373"/>
      <c r="G278" s="374"/>
      <c r="H278" s="373"/>
      <c r="I278" s="374"/>
      <c r="J278" s="373"/>
      <c r="K278" s="374"/>
      <c r="L278" s="373"/>
      <c r="M278" s="374"/>
      <c r="N278" s="373"/>
      <c r="O278" s="374"/>
      <c r="P278" s="373"/>
      <c r="Q278" s="374"/>
      <c r="R278" s="373">
        <f t="shared" si="62"/>
        <v>0</v>
      </c>
      <c r="S278" s="374">
        <f t="shared" si="63"/>
        <v>0</v>
      </c>
      <c r="T278" s="259"/>
      <c r="U278" s="197"/>
    </row>
    <row r="279" s="238" customFormat="1">
      <c r="A279" s="260" t="s">
        <v>745</v>
      </c>
      <c r="B279" s="289" t="s">
        <v>716</v>
      </c>
      <c r="C279" s="262" t="s">
        <v>354</v>
      </c>
      <c r="D279" s="263"/>
      <c r="E279" s="318"/>
      <c r="F279" s="373"/>
      <c r="G279" s="374"/>
      <c r="H279" s="373"/>
      <c r="I279" s="374"/>
      <c r="J279" s="373"/>
      <c r="K279" s="374"/>
      <c r="L279" s="373"/>
      <c r="M279" s="374"/>
      <c r="N279" s="373"/>
      <c r="O279" s="374"/>
      <c r="P279" s="373"/>
      <c r="Q279" s="374"/>
      <c r="R279" s="373">
        <f t="shared" si="62"/>
        <v>0</v>
      </c>
      <c r="S279" s="374">
        <f t="shared" si="63"/>
        <v>0</v>
      </c>
      <c r="T279" s="259"/>
      <c r="U279" s="197"/>
    </row>
    <row r="280" s="238" customFormat="1">
      <c r="A280" s="260" t="s">
        <v>746</v>
      </c>
      <c r="B280" s="267" t="s">
        <v>372</v>
      </c>
      <c r="C280" s="262" t="s">
        <v>354</v>
      </c>
      <c r="D280" s="263"/>
      <c r="E280" s="318"/>
      <c r="F280" s="373"/>
      <c r="G280" s="374"/>
      <c r="H280" s="373"/>
      <c r="I280" s="374"/>
      <c r="J280" s="373"/>
      <c r="K280" s="374"/>
      <c r="L280" s="373"/>
      <c r="M280" s="374"/>
      <c r="N280" s="373"/>
      <c r="O280" s="374"/>
      <c r="P280" s="373"/>
      <c r="Q280" s="374"/>
      <c r="R280" s="373">
        <f t="shared" ref="R280:R343" si="73">H280+J280+L280+N280+P280</f>
        <v>0</v>
      </c>
      <c r="S280" s="374">
        <f t="shared" ref="S280:S343" si="74">I280+K280+M280+O280+Q280</f>
        <v>0</v>
      </c>
      <c r="T280" s="259"/>
      <c r="U280" s="197"/>
    </row>
    <row r="281" s="238" customFormat="1">
      <c r="A281" s="260" t="s">
        <v>747</v>
      </c>
      <c r="B281" s="289" t="s">
        <v>716</v>
      </c>
      <c r="C281" s="262" t="s">
        <v>354</v>
      </c>
      <c r="D281" s="263"/>
      <c r="E281" s="318"/>
      <c r="F281" s="373"/>
      <c r="G281" s="374"/>
      <c r="H281" s="373"/>
      <c r="I281" s="374"/>
      <c r="J281" s="373"/>
      <c r="K281" s="374"/>
      <c r="L281" s="373"/>
      <c r="M281" s="374"/>
      <c r="N281" s="373"/>
      <c r="O281" s="374"/>
      <c r="P281" s="373"/>
      <c r="Q281" s="374"/>
      <c r="R281" s="373">
        <f t="shared" si="73"/>
        <v>0</v>
      </c>
      <c r="S281" s="374">
        <f t="shared" si="74"/>
        <v>0</v>
      </c>
      <c r="T281" s="259"/>
      <c r="U281" s="197"/>
    </row>
    <row r="282" s="238" customFormat="1">
      <c r="A282" s="260" t="s">
        <v>748</v>
      </c>
      <c r="B282" s="267" t="s">
        <v>749</v>
      </c>
      <c r="C282" s="262" t="s">
        <v>354</v>
      </c>
      <c r="D282" s="263"/>
      <c r="E282" s="318"/>
      <c r="F282" s="373"/>
      <c r="G282" s="374"/>
      <c r="H282" s="373"/>
      <c r="I282" s="374"/>
      <c r="J282" s="373"/>
      <c r="K282" s="374"/>
      <c r="L282" s="373"/>
      <c r="M282" s="374"/>
      <c r="N282" s="373"/>
      <c r="O282" s="374"/>
      <c r="P282" s="373"/>
      <c r="Q282" s="374"/>
      <c r="R282" s="373">
        <f t="shared" si="73"/>
        <v>0</v>
      </c>
      <c r="S282" s="374">
        <f t="shared" si="74"/>
        <v>0</v>
      </c>
      <c r="T282" s="259"/>
      <c r="U282" s="197"/>
    </row>
    <row r="283" s="238" customFormat="1">
      <c r="A283" s="260" t="s">
        <v>750</v>
      </c>
      <c r="B283" s="267" t="s">
        <v>716</v>
      </c>
      <c r="C283" s="262" t="s">
        <v>354</v>
      </c>
      <c r="D283" s="263"/>
      <c r="E283" s="318"/>
      <c r="F283" s="373"/>
      <c r="G283" s="374"/>
      <c r="H283" s="373"/>
      <c r="I283" s="374"/>
      <c r="J283" s="373"/>
      <c r="K283" s="374"/>
      <c r="L283" s="373"/>
      <c r="M283" s="374"/>
      <c r="N283" s="373"/>
      <c r="O283" s="374"/>
      <c r="P283" s="373"/>
      <c r="Q283" s="374"/>
      <c r="R283" s="373">
        <f t="shared" si="73"/>
        <v>0</v>
      </c>
      <c r="S283" s="374">
        <f t="shared" si="74"/>
        <v>0</v>
      </c>
      <c r="T283" s="259"/>
      <c r="U283" s="197"/>
    </row>
    <row r="284" s="238" customFormat="1">
      <c r="A284" s="260" t="s">
        <v>751</v>
      </c>
      <c r="B284" s="289" t="s">
        <v>752</v>
      </c>
      <c r="C284" s="262" t="s">
        <v>354</v>
      </c>
      <c r="D284" s="375"/>
      <c r="E284" s="376"/>
      <c r="F284" s="373"/>
      <c r="G284" s="374"/>
      <c r="H284" s="373"/>
      <c r="I284" s="374"/>
      <c r="J284" s="373"/>
      <c r="K284" s="374"/>
      <c r="L284" s="373"/>
      <c r="M284" s="374"/>
      <c r="N284" s="373"/>
      <c r="O284" s="374"/>
      <c r="P284" s="373"/>
      <c r="Q284" s="374"/>
      <c r="R284" s="373">
        <f t="shared" si="73"/>
        <v>0</v>
      </c>
      <c r="S284" s="374">
        <f t="shared" si="74"/>
        <v>0</v>
      </c>
      <c r="T284" s="259"/>
      <c r="U284" s="197"/>
    </row>
    <row r="285" s="238" customFormat="1">
      <c r="A285" s="260" t="s">
        <v>753</v>
      </c>
      <c r="B285" s="267" t="s">
        <v>754</v>
      </c>
      <c r="C285" s="262" t="s">
        <v>354</v>
      </c>
      <c r="D285" s="263"/>
      <c r="E285" s="318"/>
      <c r="F285" s="373"/>
      <c r="G285" s="374"/>
      <c r="H285" s="373"/>
      <c r="I285" s="374"/>
      <c r="J285" s="373"/>
      <c r="K285" s="374"/>
      <c r="L285" s="373"/>
      <c r="M285" s="374"/>
      <c r="N285" s="373"/>
      <c r="O285" s="374"/>
      <c r="P285" s="373"/>
      <c r="Q285" s="374"/>
      <c r="R285" s="373">
        <f t="shared" si="73"/>
        <v>0</v>
      </c>
      <c r="S285" s="374">
        <f t="shared" si="74"/>
        <v>0</v>
      </c>
      <c r="T285" s="259"/>
      <c r="U285" s="197"/>
    </row>
    <row r="286" s="238" customFormat="1">
      <c r="A286" s="260" t="s">
        <v>755</v>
      </c>
      <c r="B286" s="267" t="s">
        <v>716</v>
      </c>
      <c r="C286" s="262" t="s">
        <v>354</v>
      </c>
      <c r="D286" s="263"/>
      <c r="E286" s="318"/>
      <c r="F286" s="373"/>
      <c r="G286" s="374"/>
      <c r="H286" s="373"/>
      <c r="I286" s="374"/>
      <c r="J286" s="373"/>
      <c r="K286" s="374"/>
      <c r="L286" s="373"/>
      <c r="M286" s="374"/>
      <c r="N286" s="373"/>
      <c r="O286" s="374"/>
      <c r="P286" s="373"/>
      <c r="Q286" s="374"/>
      <c r="R286" s="373">
        <f t="shared" si="73"/>
        <v>0</v>
      </c>
      <c r="S286" s="374">
        <f t="shared" si="74"/>
        <v>0</v>
      </c>
      <c r="T286" s="259"/>
      <c r="U286" s="197"/>
    </row>
    <row r="287" s="238" customFormat="1">
      <c r="A287" s="260" t="s">
        <v>756</v>
      </c>
      <c r="B287" s="267" t="s">
        <v>757</v>
      </c>
      <c r="C287" s="262" t="s">
        <v>354</v>
      </c>
      <c r="D287" s="375"/>
      <c r="E287" s="376"/>
      <c r="F287" s="373"/>
      <c r="G287" s="374"/>
      <c r="H287" s="373"/>
      <c r="I287" s="374"/>
      <c r="J287" s="373"/>
      <c r="K287" s="374"/>
      <c r="L287" s="373"/>
      <c r="M287" s="374"/>
      <c r="N287" s="373"/>
      <c r="O287" s="374"/>
      <c r="P287" s="373"/>
      <c r="Q287" s="374"/>
      <c r="R287" s="373">
        <f t="shared" si="73"/>
        <v>0</v>
      </c>
      <c r="S287" s="374">
        <f t="shared" si="74"/>
        <v>0</v>
      </c>
      <c r="T287" s="259"/>
      <c r="U287" s="197"/>
    </row>
    <row r="288" s="238" customFormat="1">
      <c r="A288" s="260" t="s">
        <v>758</v>
      </c>
      <c r="B288" s="267" t="s">
        <v>585</v>
      </c>
      <c r="C288" s="262" t="s">
        <v>354</v>
      </c>
      <c r="D288" s="375"/>
      <c r="E288" s="318"/>
      <c r="F288" s="373"/>
      <c r="G288" s="374"/>
      <c r="H288" s="373"/>
      <c r="I288" s="374"/>
      <c r="J288" s="373"/>
      <c r="K288" s="374"/>
      <c r="L288" s="373"/>
      <c r="M288" s="374"/>
      <c r="N288" s="373"/>
      <c r="O288" s="374"/>
      <c r="P288" s="373"/>
      <c r="Q288" s="374"/>
      <c r="R288" s="373">
        <f t="shared" si="73"/>
        <v>0</v>
      </c>
      <c r="S288" s="374">
        <f t="shared" si="74"/>
        <v>0</v>
      </c>
      <c r="T288" s="259"/>
      <c r="U288" s="197"/>
    </row>
    <row r="289" s="238" customFormat="1">
      <c r="A289" s="260" t="s">
        <v>759</v>
      </c>
      <c r="B289" s="289" t="s">
        <v>716</v>
      </c>
      <c r="C289" s="262" t="s">
        <v>354</v>
      </c>
      <c r="D289" s="263"/>
      <c r="E289" s="318"/>
      <c r="F289" s="373"/>
      <c r="G289" s="374"/>
      <c r="H289" s="373"/>
      <c r="I289" s="374"/>
      <c r="J289" s="373"/>
      <c r="K289" s="374"/>
      <c r="L289" s="373"/>
      <c r="M289" s="374"/>
      <c r="N289" s="373"/>
      <c r="O289" s="374"/>
      <c r="P289" s="373"/>
      <c r="Q289" s="374"/>
      <c r="R289" s="373">
        <f t="shared" si="73"/>
        <v>0</v>
      </c>
      <c r="S289" s="374">
        <f t="shared" si="74"/>
        <v>0</v>
      </c>
      <c r="T289" s="259"/>
      <c r="U289" s="197"/>
    </row>
    <row r="290" s="238" customFormat="1">
      <c r="A290" s="260" t="s">
        <v>760</v>
      </c>
      <c r="B290" s="267" t="s">
        <v>761</v>
      </c>
      <c r="C290" s="262" t="s">
        <v>354</v>
      </c>
      <c r="D290" s="263"/>
      <c r="E290" s="318"/>
      <c r="F290" s="373"/>
      <c r="G290" s="374"/>
      <c r="H290" s="373"/>
      <c r="I290" s="374"/>
      <c r="J290" s="373"/>
      <c r="K290" s="374"/>
      <c r="L290" s="373"/>
      <c r="M290" s="374"/>
      <c r="N290" s="373"/>
      <c r="O290" s="374"/>
      <c r="P290" s="373"/>
      <c r="Q290" s="374"/>
      <c r="R290" s="373">
        <f t="shared" si="73"/>
        <v>0</v>
      </c>
      <c r="S290" s="374">
        <f t="shared" si="74"/>
        <v>0</v>
      </c>
      <c r="T290" s="259"/>
      <c r="U290" s="197"/>
    </row>
    <row r="291" s="238" customFormat="1">
      <c r="A291" s="260" t="s">
        <v>762</v>
      </c>
      <c r="B291" s="289" t="s">
        <v>716</v>
      </c>
      <c r="C291" s="262" t="s">
        <v>354</v>
      </c>
      <c r="D291" s="263"/>
      <c r="E291" s="376"/>
      <c r="F291" s="373"/>
      <c r="G291" s="374"/>
      <c r="H291" s="373"/>
      <c r="I291" s="374"/>
      <c r="J291" s="373"/>
      <c r="K291" s="374"/>
      <c r="L291" s="373"/>
      <c r="M291" s="374"/>
      <c r="N291" s="373"/>
      <c r="O291" s="374"/>
      <c r="P291" s="373"/>
      <c r="Q291" s="374"/>
      <c r="R291" s="373">
        <f t="shared" si="73"/>
        <v>0</v>
      </c>
      <c r="S291" s="374">
        <f t="shared" si="74"/>
        <v>0</v>
      </c>
      <c r="T291" s="259"/>
      <c r="U291" s="197"/>
    </row>
    <row r="292" s="238" customFormat="1">
      <c r="A292" s="260" t="s">
        <v>763</v>
      </c>
      <c r="B292" s="267" t="s">
        <v>764</v>
      </c>
      <c r="C292" s="262" t="s">
        <v>354</v>
      </c>
      <c r="D292" s="384"/>
      <c r="E292" s="376"/>
      <c r="F292" s="373"/>
      <c r="G292" s="374"/>
      <c r="H292" s="373"/>
      <c r="I292" s="374"/>
      <c r="J292" s="373"/>
      <c r="K292" s="374"/>
      <c r="L292" s="373"/>
      <c r="M292" s="374"/>
      <c r="N292" s="373"/>
      <c r="O292" s="374"/>
      <c r="P292" s="373"/>
      <c r="Q292" s="374"/>
      <c r="R292" s="373">
        <f t="shared" si="73"/>
        <v>0</v>
      </c>
      <c r="S292" s="374">
        <f t="shared" si="74"/>
        <v>0</v>
      </c>
      <c r="T292" s="259"/>
      <c r="U292" s="197"/>
    </row>
    <row r="293" s="238" customFormat="1">
      <c r="A293" s="260" t="s">
        <v>765</v>
      </c>
      <c r="B293" s="267" t="s">
        <v>716</v>
      </c>
      <c r="C293" s="262" t="s">
        <v>354</v>
      </c>
      <c r="D293" s="384"/>
      <c r="E293" s="376"/>
      <c r="F293" s="373"/>
      <c r="G293" s="374"/>
      <c r="H293" s="373"/>
      <c r="I293" s="374"/>
      <c r="J293" s="373"/>
      <c r="K293" s="374"/>
      <c r="L293" s="373"/>
      <c r="M293" s="374"/>
      <c r="N293" s="373"/>
      <c r="O293" s="374"/>
      <c r="P293" s="373"/>
      <c r="Q293" s="374"/>
      <c r="R293" s="373">
        <f t="shared" si="73"/>
        <v>0</v>
      </c>
      <c r="S293" s="374">
        <f t="shared" si="74"/>
        <v>0</v>
      </c>
      <c r="T293" s="259"/>
      <c r="U293" s="197"/>
    </row>
    <row r="294" s="238" customFormat="1">
      <c r="A294" s="260" t="s">
        <v>766</v>
      </c>
      <c r="B294" s="267" t="s">
        <v>767</v>
      </c>
      <c r="C294" s="262" t="s">
        <v>354</v>
      </c>
      <c r="D294" s="384"/>
      <c r="E294" s="376"/>
      <c r="F294" s="373"/>
      <c r="G294" s="374"/>
      <c r="H294" s="373"/>
      <c r="I294" s="374"/>
      <c r="J294" s="373"/>
      <c r="K294" s="374"/>
      <c r="L294" s="373"/>
      <c r="M294" s="374"/>
      <c r="N294" s="373"/>
      <c r="O294" s="374"/>
      <c r="P294" s="373"/>
      <c r="Q294" s="374"/>
      <c r="R294" s="373">
        <f t="shared" si="73"/>
        <v>0</v>
      </c>
      <c r="S294" s="374">
        <f t="shared" si="74"/>
        <v>0</v>
      </c>
      <c r="T294" s="259"/>
      <c r="U294" s="197"/>
    </row>
    <row r="295" s="238" customFormat="1">
      <c r="A295" s="260" t="s">
        <v>768</v>
      </c>
      <c r="B295" s="267" t="s">
        <v>716</v>
      </c>
      <c r="C295" s="262" t="s">
        <v>354</v>
      </c>
      <c r="D295" s="263"/>
      <c r="E295" s="376"/>
      <c r="F295" s="373"/>
      <c r="G295" s="374"/>
      <c r="H295" s="373"/>
      <c r="I295" s="374"/>
      <c r="J295" s="373"/>
      <c r="K295" s="374"/>
      <c r="L295" s="373"/>
      <c r="M295" s="374"/>
      <c r="N295" s="373"/>
      <c r="O295" s="374"/>
      <c r="P295" s="373"/>
      <c r="Q295" s="374"/>
      <c r="R295" s="373">
        <f t="shared" si="73"/>
        <v>0</v>
      </c>
      <c r="S295" s="374">
        <f t="shared" si="74"/>
        <v>0</v>
      </c>
      <c r="T295" s="259"/>
      <c r="U295" s="197"/>
    </row>
    <row r="296" s="238" customFormat="1">
      <c r="A296" s="260" t="s">
        <v>769</v>
      </c>
      <c r="B296" s="267" t="s">
        <v>770</v>
      </c>
      <c r="C296" s="262" t="s">
        <v>354</v>
      </c>
      <c r="D296" s="263"/>
      <c r="E296" s="318"/>
      <c r="F296" s="373"/>
      <c r="G296" s="374"/>
      <c r="H296" s="373"/>
      <c r="I296" s="374"/>
      <c r="J296" s="373"/>
      <c r="K296" s="374"/>
      <c r="L296" s="373"/>
      <c r="M296" s="374"/>
      <c r="N296" s="373"/>
      <c r="O296" s="374"/>
      <c r="P296" s="373"/>
      <c r="Q296" s="374"/>
      <c r="R296" s="373">
        <f t="shared" si="73"/>
        <v>0</v>
      </c>
      <c r="S296" s="374">
        <f t="shared" si="74"/>
        <v>0</v>
      </c>
      <c r="T296" s="259"/>
      <c r="U296" s="197"/>
    </row>
    <row r="297" s="238" customFormat="1">
      <c r="A297" s="260" t="s">
        <v>771</v>
      </c>
      <c r="B297" s="267" t="s">
        <v>716</v>
      </c>
      <c r="C297" s="262" t="s">
        <v>354</v>
      </c>
      <c r="D297" s="263"/>
      <c r="E297" s="318"/>
      <c r="F297" s="373"/>
      <c r="G297" s="374"/>
      <c r="H297" s="373"/>
      <c r="I297" s="374"/>
      <c r="J297" s="373"/>
      <c r="K297" s="374"/>
      <c r="L297" s="373"/>
      <c r="M297" s="374"/>
      <c r="N297" s="373"/>
      <c r="O297" s="374"/>
      <c r="P297" s="373"/>
      <c r="Q297" s="374"/>
      <c r="R297" s="373">
        <f t="shared" si="73"/>
        <v>0</v>
      </c>
      <c r="S297" s="374">
        <f t="shared" si="74"/>
        <v>0</v>
      </c>
      <c r="T297" s="259"/>
      <c r="U297" s="197"/>
    </row>
    <row r="298" s="238" customFormat="1">
      <c r="A298" s="260" t="s">
        <v>772</v>
      </c>
      <c r="B298" s="267" t="s">
        <v>773</v>
      </c>
      <c r="C298" s="262" t="s">
        <v>354</v>
      </c>
      <c r="D298" s="263"/>
      <c r="E298" s="318"/>
      <c r="F298" s="373"/>
      <c r="G298" s="374"/>
      <c r="H298" s="373"/>
      <c r="I298" s="374"/>
      <c r="J298" s="373"/>
      <c r="K298" s="374"/>
      <c r="L298" s="373"/>
      <c r="M298" s="374"/>
      <c r="N298" s="373"/>
      <c r="O298" s="374"/>
      <c r="P298" s="373"/>
      <c r="Q298" s="374"/>
      <c r="R298" s="373">
        <f t="shared" si="73"/>
        <v>0</v>
      </c>
      <c r="S298" s="374">
        <f t="shared" si="74"/>
        <v>0</v>
      </c>
      <c r="T298" s="259"/>
      <c r="U298" s="197"/>
    </row>
    <row r="299" s="238" customFormat="1">
      <c r="A299" s="260" t="s">
        <v>774</v>
      </c>
      <c r="B299" s="267" t="s">
        <v>716</v>
      </c>
      <c r="C299" s="262" t="s">
        <v>354</v>
      </c>
      <c r="D299" s="263"/>
      <c r="E299" s="318"/>
      <c r="F299" s="373"/>
      <c r="G299" s="374"/>
      <c r="H299" s="373"/>
      <c r="I299" s="374"/>
      <c r="J299" s="373"/>
      <c r="K299" s="374"/>
      <c r="L299" s="373"/>
      <c r="M299" s="374"/>
      <c r="N299" s="373"/>
      <c r="O299" s="374"/>
      <c r="P299" s="373"/>
      <c r="Q299" s="374"/>
      <c r="R299" s="373">
        <f t="shared" si="73"/>
        <v>0</v>
      </c>
      <c r="S299" s="374">
        <f t="shared" si="74"/>
        <v>0</v>
      </c>
      <c r="T299" s="259"/>
      <c r="U299" s="197"/>
    </row>
    <row r="300" s="238" customFormat="1">
      <c r="A300" s="260" t="s">
        <v>775</v>
      </c>
      <c r="B300" s="267" t="s">
        <v>776</v>
      </c>
      <c r="C300" s="262" t="s">
        <v>354</v>
      </c>
      <c r="D300" s="263"/>
      <c r="E300" s="318"/>
      <c r="F300" s="373"/>
      <c r="G300" s="374"/>
      <c r="H300" s="373"/>
      <c r="I300" s="374"/>
      <c r="J300" s="373"/>
      <c r="K300" s="374"/>
      <c r="L300" s="373"/>
      <c r="M300" s="374"/>
      <c r="N300" s="373"/>
      <c r="O300" s="374"/>
      <c r="P300" s="373"/>
      <c r="Q300" s="374"/>
      <c r="R300" s="373">
        <f t="shared" si="73"/>
        <v>0</v>
      </c>
      <c r="S300" s="374">
        <f t="shared" si="74"/>
        <v>0</v>
      </c>
      <c r="T300" s="259"/>
      <c r="U300" s="197"/>
    </row>
    <row r="301" s="238" customFormat="1">
      <c r="A301" s="260" t="s">
        <v>777</v>
      </c>
      <c r="B301" s="267" t="s">
        <v>716</v>
      </c>
      <c r="C301" s="262" t="s">
        <v>354</v>
      </c>
      <c r="D301" s="263"/>
      <c r="E301" s="318"/>
      <c r="F301" s="373"/>
      <c r="G301" s="374"/>
      <c r="H301" s="373"/>
      <c r="I301" s="374"/>
      <c r="J301" s="373"/>
      <c r="K301" s="374"/>
      <c r="L301" s="373"/>
      <c r="M301" s="374"/>
      <c r="N301" s="373"/>
      <c r="O301" s="374"/>
      <c r="P301" s="373"/>
      <c r="Q301" s="374"/>
      <c r="R301" s="373">
        <f t="shared" si="73"/>
        <v>0</v>
      </c>
      <c r="S301" s="374">
        <f t="shared" si="74"/>
        <v>0</v>
      </c>
      <c r="T301" s="259"/>
      <c r="U301" s="197"/>
    </row>
    <row r="302" s="238" customFormat="1">
      <c r="A302" s="260" t="s">
        <v>778</v>
      </c>
      <c r="B302" s="267" t="s">
        <v>779</v>
      </c>
      <c r="C302" s="262" t="s">
        <v>354</v>
      </c>
      <c r="D302" s="263"/>
      <c r="E302" s="318"/>
      <c r="F302" s="373"/>
      <c r="G302" s="374"/>
      <c r="H302" s="373"/>
      <c r="I302" s="374"/>
      <c r="J302" s="373"/>
      <c r="K302" s="374"/>
      <c r="L302" s="373"/>
      <c r="M302" s="374"/>
      <c r="N302" s="373"/>
      <c r="O302" s="374"/>
      <c r="P302" s="373"/>
      <c r="Q302" s="374"/>
      <c r="R302" s="373">
        <f t="shared" si="73"/>
        <v>0</v>
      </c>
      <c r="S302" s="374">
        <f t="shared" si="74"/>
        <v>0</v>
      </c>
      <c r="T302" s="259"/>
      <c r="U302" s="197"/>
    </row>
    <row r="303" s="238" customFormat="1">
      <c r="A303" s="260" t="s">
        <v>780</v>
      </c>
      <c r="B303" s="267" t="s">
        <v>716</v>
      </c>
      <c r="C303" s="262" t="s">
        <v>354</v>
      </c>
      <c r="D303" s="263"/>
      <c r="E303" s="318"/>
      <c r="F303" s="373"/>
      <c r="G303" s="374"/>
      <c r="H303" s="373"/>
      <c r="I303" s="374"/>
      <c r="J303" s="373"/>
      <c r="K303" s="374"/>
      <c r="L303" s="373"/>
      <c r="M303" s="374"/>
      <c r="N303" s="373"/>
      <c r="O303" s="374"/>
      <c r="P303" s="373"/>
      <c r="Q303" s="374"/>
      <c r="R303" s="373">
        <f t="shared" si="73"/>
        <v>0</v>
      </c>
      <c r="S303" s="374">
        <f t="shared" si="74"/>
        <v>0</v>
      </c>
      <c r="T303" s="259"/>
      <c r="U303" s="197"/>
    </row>
    <row r="304" s="238" customFormat="1">
      <c r="A304" s="260" t="s">
        <v>781</v>
      </c>
      <c r="B304" s="267" t="s">
        <v>782</v>
      </c>
      <c r="C304" s="262" t="s">
        <v>354</v>
      </c>
      <c r="D304" s="263"/>
      <c r="E304" s="318"/>
      <c r="F304" s="373"/>
      <c r="G304" s="374"/>
      <c r="H304" s="373"/>
      <c r="I304" s="374"/>
      <c r="J304" s="373"/>
      <c r="K304" s="374"/>
      <c r="L304" s="373"/>
      <c r="M304" s="374"/>
      <c r="N304" s="373"/>
      <c r="O304" s="374"/>
      <c r="P304" s="373"/>
      <c r="Q304" s="374"/>
      <c r="R304" s="373">
        <f t="shared" si="73"/>
        <v>0</v>
      </c>
      <c r="S304" s="374">
        <f t="shared" si="74"/>
        <v>0</v>
      </c>
      <c r="T304" s="259"/>
      <c r="U304" s="197"/>
    </row>
    <row r="305" s="238" customFormat="1">
      <c r="A305" s="260" t="s">
        <v>783</v>
      </c>
      <c r="B305" s="267" t="s">
        <v>716</v>
      </c>
      <c r="C305" s="262" t="s">
        <v>354</v>
      </c>
      <c r="D305" s="263"/>
      <c r="E305" s="318"/>
      <c r="F305" s="373"/>
      <c r="G305" s="374"/>
      <c r="H305" s="373"/>
      <c r="I305" s="374"/>
      <c r="J305" s="373"/>
      <c r="K305" s="374"/>
      <c r="L305" s="373"/>
      <c r="M305" s="374"/>
      <c r="N305" s="373"/>
      <c r="O305" s="374"/>
      <c r="P305" s="373"/>
      <c r="Q305" s="374"/>
      <c r="R305" s="373">
        <f t="shared" si="73"/>
        <v>0</v>
      </c>
      <c r="S305" s="374">
        <f t="shared" si="74"/>
        <v>0</v>
      </c>
      <c r="T305" s="259"/>
      <c r="U305" s="197"/>
    </row>
    <row r="306" s="238" customFormat="1">
      <c r="A306" s="260" t="s">
        <v>784</v>
      </c>
      <c r="B306" s="289" t="s">
        <v>785</v>
      </c>
      <c r="C306" s="262" t="s">
        <v>786</v>
      </c>
      <c r="D306" s="263"/>
      <c r="E306" s="318"/>
      <c r="F306" s="373"/>
      <c r="G306" s="374"/>
      <c r="H306" s="373"/>
      <c r="I306" s="374"/>
      <c r="J306" s="373"/>
      <c r="K306" s="374"/>
      <c r="L306" s="373"/>
      <c r="M306" s="374"/>
      <c r="N306" s="373"/>
      <c r="O306" s="374"/>
      <c r="P306" s="373"/>
      <c r="Q306" s="374"/>
      <c r="R306" s="373">
        <f t="shared" si="73"/>
        <v>0</v>
      </c>
      <c r="S306" s="374">
        <f t="shared" si="74"/>
        <v>0</v>
      </c>
      <c r="T306" s="259"/>
      <c r="U306" s="197"/>
    </row>
    <row r="307" s="238" customFormat="1">
      <c r="A307" s="260" t="s">
        <v>787</v>
      </c>
      <c r="B307" s="267" t="s">
        <v>788</v>
      </c>
      <c r="C307" s="262" t="s">
        <v>786</v>
      </c>
      <c r="D307" s="263"/>
      <c r="E307" s="318"/>
      <c r="F307" s="373"/>
      <c r="G307" s="374"/>
      <c r="H307" s="373"/>
      <c r="I307" s="374"/>
      <c r="J307" s="373"/>
      <c r="K307" s="374"/>
      <c r="L307" s="373"/>
      <c r="M307" s="374"/>
      <c r="N307" s="373"/>
      <c r="O307" s="374"/>
      <c r="P307" s="373"/>
      <c r="Q307" s="374"/>
      <c r="R307" s="373">
        <f t="shared" si="73"/>
        <v>0</v>
      </c>
      <c r="S307" s="374">
        <f t="shared" si="74"/>
        <v>0</v>
      </c>
      <c r="T307" s="259"/>
      <c r="U307" s="197"/>
    </row>
    <row r="308" s="238" customFormat="1">
      <c r="A308" s="260" t="s">
        <v>789</v>
      </c>
      <c r="B308" s="267" t="s">
        <v>790</v>
      </c>
      <c r="C308" s="262" t="s">
        <v>786</v>
      </c>
      <c r="D308" s="263"/>
      <c r="E308" s="318"/>
      <c r="F308" s="373"/>
      <c r="G308" s="374"/>
      <c r="H308" s="373"/>
      <c r="I308" s="374"/>
      <c r="J308" s="373"/>
      <c r="K308" s="374"/>
      <c r="L308" s="373"/>
      <c r="M308" s="374"/>
      <c r="N308" s="373"/>
      <c r="O308" s="374"/>
      <c r="P308" s="373"/>
      <c r="Q308" s="374"/>
      <c r="R308" s="373">
        <f t="shared" si="73"/>
        <v>0</v>
      </c>
      <c r="S308" s="374">
        <f t="shared" si="74"/>
        <v>0</v>
      </c>
      <c r="T308" s="259"/>
      <c r="U308" s="197"/>
    </row>
    <row r="309" s="238" customFormat="1">
      <c r="A309" s="260" t="s">
        <v>791</v>
      </c>
      <c r="B309" s="267" t="s">
        <v>792</v>
      </c>
      <c r="C309" s="262" t="s">
        <v>786</v>
      </c>
      <c r="D309" s="263"/>
      <c r="E309" s="318"/>
      <c r="F309" s="373"/>
      <c r="G309" s="374"/>
      <c r="H309" s="373"/>
      <c r="I309" s="374"/>
      <c r="J309" s="373"/>
      <c r="K309" s="374"/>
      <c r="L309" s="373"/>
      <c r="M309" s="374"/>
      <c r="N309" s="373"/>
      <c r="O309" s="374"/>
      <c r="P309" s="373"/>
      <c r="Q309" s="374"/>
      <c r="R309" s="373">
        <f t="shared" si="73"/>
        <v>0</v>
      </c>
      <c r="S309" s="374">
        <f t="shared" si="74"/>
        <v>0</v>
      </c>
      <c r="T309" s="259"/>
      <c r="U309" s="197"/>
    </row>
    <row r="310" s="238" customFormat="1">
      <c r="A310" s="260" t="s">
        <v>793</v>
      </c>
      <c r="B310" s="267" t="s">
        <v>794</v>
      </c>
      <c r="C310" s="262" t="s">
        <v>786</v>
      </c>
      <c r="D310" s="263"/>
      <c r="E310" s="318"/>
      <c r="F310" s="373"/>
      <c r="G310" s="374"/>
      <c r="H310" s="373"/>
      <c r="I310" s="374"/>
      <c r="J310" s="373"/>
      <c r="K310" s="374"/>
      <c r="L310" s="373"/>
      <c r="M310" s="374"/>
      <c r="N310" s="373"/>
      <c r="O310" s="374"/>
      <c r="P310" s="373"/>
      <c r="Q310" s="374"/>
      <c r="R310" s="373">
        <f t="shared" si="73"/>
        <v>0</v>
      </c>
      <c r="S310" s="374">
        <f t="shared" si="74"/>
        <v>0</v>
      </c>
      <c r="T310" s="259"/>
      <c r="U310" s="197"/>
    </row>
    <row r="311" s="238" customFormat="1">
      <c r="A311" s="260" t="s">
        <v>795</v>
      </c>
      <c r="B311" s="261" t="s">
        <v>796</v>
      </c>
      <c r="C311" s="262" t="s">
        <v>786</v>
      </c>
      <c r="D311" s="263"/>
      <c r="E311" s="318"/>
      <c r="F311" s="373"/>
      <c r="G311" s="374"/>
      <c r="H311" s="373"/>
      <c r="I311" s="374"/>
      <c r="J311" s="373"/>
      <c r="K311" s="374"/>
      <c r="L311" s="373"/>
      <c r="M311" s="374"/>
      <c r="N311" s="373"/>
      <c r="O311" s="374"/>
      <c r="P311" s="373"/>
      <c r="Q311" s="374"/>
      <c r="R311" s="373">
        <f t="shared" si="73"/>
        <v>0</v>
      </c>
      <c r="S311" s="374">
        <f t="shared" si="74"/>
        <v>0</v>
      </c>
      <c r="T311" s="259"/>
      <c r="U311" s="197"/>
    </row>
    <row r="312" s="238" customFormat="1">
      <c r="A312" s="260" t="s">
        <v>797</v>
      </c>
      <c r="B312" s="261" t="s">
        <v>798</v>
      </c>
      <c r="C312" s="262" t="s">
        <v>786</v>
      </c>
      <c r="D312" s="263"/>
      <c r="E312" s="318"/>
      <c r="F312" s="373"/>
      <c r="G312" s="374"/>
      <c r="H312" s="373"/>
      <c r="I312" s="374"/>
      <c r="J312" s="373"/>
      <c r="K312" s="374"/>
      <c r="L312" s="373"/>
      <c r="M312" s="374"/>
      <c r="N312" s="373"/>
      <c r="O312" s="374"/>
      <c r="P312" s="373"/>
      <c r="Q312" s="374"/>
      <c r="R312" s="373">
        <f t="shared" si="73"/>
        <v>0</v>
      </c>
      <c r="S312" s="374">
        <f t="shared" si="74"/>
        <v>0</v>
      </c>
      <c r="T312" s="259"/>
      <c r="U312" s="197"/>
    </row>
    <row r="313" s="238" customFormat="1">
      <c r="A313" s="260" t="s">
        <v>799</v>
      </c>
      <c r="B313" s="261" t="s">
        <v>800</v>
      </c>
      <c r="C313" s="262" t="s">
        <v>786</v>
      </c>
      <c r="D313" s="263"/>
      <c r="E313" s="318"/>
      <c r="F313" s="373"/>
      <c r="G313" s="374"/>
      <c r="H313" s="373"/>
      <c r="I313" s="374"/>
      <c r="J313" s="373"/>
      <c r="K313" s="374"/>
      <c r="L313" s="373"/>
      <c r="M313" s="374"/>
      <c r="N313" s="373"/>
      <c r="O313" s="374"/>
      <c r="P313" s="373"/>
      <c r="Q313" s="374"/>
      <c r="R313" s="373">
        <f t="shared" si="73"/>
        <v>0</v>
      </c>
      <c r="S313" s="374">
        <f t="shared" si="74"/>
        <v>0</v>
      </c>
      <c r="T313" s="259"/>
      <c r="U313" s="197"/>
    </row>
    <row r="314" s="238" customFormat="1">
      <c r="A314" s="260" t="s">
        <v>801</v>
      </c>
      <c r="B314" s="261" t="s">
        <v>802</v>
      </c>
      <c r="C314" s="262" t="s">
        <v>786</v>
      </c>
      <c r="D314" s="263"/>
      <c r="E314" s="318"/>
      <c r="F314" s="373"/>
      <c r="G314" s="374"/>
      <c r="H314" s="373"/>
      <c r="I314" s="374"/>
      <c r="J314" s="373"/>
      <c r="K314" s="374"/>
      <c r="L314" s="373"/>
      <c r="M314" s="374"/>
      <c r="N314" s="373"/>
      <c r="O314" s="374"/>
      <c r="P314" s="373"/>
      <c r="Q314" s="374"/>
      <c r="R314" s="373">
        <f t="shared" si="73"/>
        <v>0</v>
      </c>
      <c r="S314" s="374">
        <f t="shared" si="74"/>
        <v>0</v>
      </c>
      <c r="T314" s="259"/>
      <c r="U314" s="197"/>
    </row>
    <row r="315" s="238" customFormat="1" ht="19.5" customHeight="1">
      <c r="A315" s="260" t="s">
        <v>803</v>
      </c>
      <c r="B315" s="261" t="s">
        <v>804</v>
      </c>
      <c r="C315" s="262" t="s">
        <v>786</v>
      </c>
      <c r="D315" s="263"/>
      <c r="E315" s="318"/>
      <c r="F315" s="373"/>
      <c r="G315" s="374"/>
      <c r="H315" s="373"/>
      <c r="I315" s="374"/>
      <c r="J315" s="373"/>
      <c r="K315" s="374"/>
      <c r="L315" s="373"/>
      <c r="M315" s="374"/>
      <c r="N315" s="373"/>
      <c r="O315" s="374"/>
      <c r="P315" s="373"/>
      <c r="Q315" s="374"/>
      <c r="R315" s="373">
        <f t="shared" si="73"/>
        <v>0</v>
      </c>
      <c r="S315" s="374">
        <f t="shared" si="74"/>
        <v>0</v>
      </c>
      <c r="T315" s="259"/>
      <c r="U315" s="197"/>
    </row>
    <row r="316" s="238" customFormat="1" ht="19.5" customHeight="1">
      <c r="A316" s="260" t="s">
        <v>805</v>
      </c>
      <c r="B316" s="261" t="s">
        <v>806</v>
      </c>
      <c r="C316" s="262" t="s">
        <v>786</v>
      </c>
      <c r="D316" s="263"/>
      <c r="E316" s="318"/>
      <c r="F316" s="373"/>
      <c r="G316" s="374"/>
      <c r="H316" s="373"/>
      <c r="I316" s="374"/>
      <c r="J316" s="373"/>
      <c r="K316" s="374"/>
      <c r="L316" s="373"/>
      <c r="M316" s="374"/>
      <c r="N316" s="373"/>
      <c r="O316" s="374"/>
      <c r="P316" s="373"/>
      <c r="Q316" s="374"/>
      <c r="R316" s="373">
        <f t="shared" si="73"/>
        <v>0</v>
      </c>
      <c r="S316" s="374">
        <f t="shared" si="74"/>
        <v>0</v>
      </c>
      <c r="T316" s="259"/>
      <c r="U316" s="197"/>
    </row>
    <row r="317" s="238" customFormat="1" ht="36.75" customHeight="1">
      <c r="A317" s="260" t="s">
        <v>807</v>
      </c>
      <c r="B317" s="267" t="s">
        <v>808</v>
      </c>
      <c r="C317" s="262" t="s">
        <v>786</v>
      </c>
      <c r="D317" s="263"/>
      <c r="E317" s="318"/>
      <c r="F317" s="373"/>
      <c r="G317" s="374"/>
      <c r="H317" s="373"/>
      <c r="I317" s="374"/>
      <c r="J317" s="373"/>
      <c r="K317" s="374"/>
      <c r="L317" s="373"/>
      <c r="M317" s="374"/>
      <c r="N317" s="373"/>
      <c r="O317" s="374"/>
      <c r="P317" s="373"/>
      <c r="Q317" s="374"/>
      <c r="R317" s="373">
        <f t="shared" si="73"/>
        <v>0</v>
      </c>
      <c r="S317" s="374">
        <f t="shared" si="74"/>
        <v>0</v>
      </c>
      <c r="T317" s="259"/>
      <c r="U317" s="197"/>
    </row>
    <row r="318" s="238" customFormat="1" ht="19.5" customHeight="1">
      <c r="A318" s="260" t="s">
        <v>809</v>
      </c>
      <c r="B318" s="261" t="s">
        <v>370</v>
      </c>
      <c r="C318" s="262" t="s">
        <v>786</v>
      </c>
      <c r="D318" s="263"/>
      <c r="E318" s="318"/>
      <c r="F318" s="373"/>
      <c r="G318" s="374"/>
      <c r="H318" s="373"/>
      <c r="I318" s="374"/>
      <c r="J318" s="373"/>
      <c r="K318" s="374"/>
      <c r="L318" s="373"/>
      <c r="M318" s="374"/>
      <c r="N318" s="373"/>
      <c r="O318" s="374"/>
      <c r="P318" s="373"/>
      <c r="Q318" s="374"/>
      <c r="R318" s="373">
        <f t="shared" si="73"/>
        <v>0</v>
      </c>
      <c r="S318" s="374">
        <f t="shared" si="74"/>
        <v>0</v>
      </c>
      <c r="T318" s="259"/>
      <c r="U318" s="197"/>
    </row>
    <row r="319" s="238" customFormat="1" ht="19.5" customHeight="1">
      <c r="A319" s="269" t="s">
        <v>810</v>
      </c>
      <c r="B319" s="270" t="s">
        <v>372</v>
      </c>
      <c r="C319" s="271" t="s">
        <v>786</v>
      </c>
      <c r="D319" s="272"/>
      <c r="E319" s="320"/>
      <c r="F319" s="378"/>
      <c r="G319" s="379"/>
      <c r="H319" s="378"/>
      <c r="I319" s="379"/>
      <c r="J319" s="378"/>
      <c r="K319" s="379"/>
      <c r="L319" s="378"/>
      <c r="M319" s="379"/>
      <c r="N319" s="378"/>
      <c r="O319" s="379"/>
      <c r="P319" s="378"/>
      <c r="Q319" s="379"/>
      <c r="R319" s="378">
        <f t="shared" si="73"/>
        <v>0</v>
      </c>
      <c r="S319" s="379">
        <f t="shared" si="74"/>
        <v>0</v>
      </c>
      <c r="T319" s="259"/>
      <c r="U319" s="197"/>
    </row>
    <row r="320" s="238" customFormat="1" ht="15.6" customHeight="1">
      <c r="A320" s="409" t="s">
        <v>811</v>
      </c>
      <c r="B320" s="410"/>
      <c r="C320" s="410"/>
      <c r="D320" s="410"/>
      <c r="E320" s="410"/>
      <c r="F320" s="410"/>
      <c r="G320" s="410"/>
      <c r="H320" s="410"/>
      <c r="I320" s="410"/>
      <c r="J320" s="410"/>
      <c r="K320" s="410"/>
      <c r="L320" s="410"/>
      <c r="M320" s="410"/>
      <c r="N320" s="410"/>
      <c r="O320" s="410"/>
      <c r="P320" s="410"/>
      <c r="Q320" s="410"/>
      <c r="R320" s="410"/>
      <c r="S320" s="411"/>
      <c r="T320" s="251"/>
      <c r="U320" s="197"/>
    </row>
    <row r="321" ht="31.5">
      <c r="A321" s="340" t="s">
        <v>812</v>
      </c>
      <c r="B321" s="341" t="s">
        <v>813</v>
      </c>
      <c r="C321" s="342" t="s">
        <v>66</v>
      </c>
      <c r="D321" s="412" t="s">
        <v>814</v>
      </c>
      <c r="E321" s="413" t="s">
        <v>814</v>
      </c>
      <c r="F321" s="414" t="s">
        <v>814</v>
      </c>
      <c r="G321" s="413" t="s">
        <v>814</v>
      </c>
      <c r="H321" s="414" t="s">
        <v>814</v>
      </c>
      <c r="I321" s="413" t="s">
        <v>814</v>
      </c>
      <c r="J321" s="415"/>
      <c r="K321" s="415"/>
      <c r="L321" s="415"/>
      <c r="M321" s="415"/>
      <c r="N321" s="415"/>
      <c r="O321" s="415"/>
      <c r="P321" s="415"/>
      <c r="Q321" s="415"/>
      <c r="R321" s="415" t="s">
        <v>814</v>
      </c>
      <c r="S321" s="415" t="s">
        <v>814</v>
      </c>
      <c r="T321" s="416"/>
    </row>
    <row r="322" ht="15.75">
      <c r="A322" s="260" t="s">
        <v>815</v>
      </c>
      <c r="B322" s="289" t="s">
        <v>816</v>
      </c>
      <c r="C322" s="262" t="s">
        <v>817</v>
      </c>
      <c r="D322" s="417">
        <v>0</v>
      </c>
      <c r="E322" s="418"/>
      <c r="F322" s="419"/>
      <c r="G322" s="418"/>
      <c r="H322" s="419"/>
      <c r="I322" s="418"/>
      <c r="J322" s="420"/>
      <c r="K322" s="420"/>
      <c r="L322" s="420"/>
      <c r="M322" s="420"/>
      <c r="N322" s="420"/>
      <c r="O322" s="420"/>
      <c r="P322" s="420"/>
      <c r="Q322" s="420"/>
      <c r="R322" s="420">
        <v>0</v>
      </c>
      <c r="S322" s="420">
        <v>0</v>
      </c>
      <c r="T322" s="259"/>
    </row>
    <row r="323" ht="15.75">
      <c r="A323" s="260" t="s">
        <v>818</v>
      </c>
      <c r="B323" s="289" t="s">
        <v>819</v>
      </c>
      <c r="C323" s="262" t="s">
        <v>820</v>
      </c>
      <c r="D323" s="417">
        <v>0</v>
      </c>
      <c r="E323" s="418"/>
      <c r="F323" s="419"/>
      <c r="G323" s="418"/>
      <c r="H323" s="419"/>
      <c r="I323" s="418"/>
      <c r="J323" s="420"/>
      <c r="K323" s="420"/>
      <c r="L323" s="420"/>
      <c r="M323" s="420"/>
      <c r="N323" s="420"/>
      <c r="O323" s="420"/>
      <c r="P323" s="420"/>
      <c r="Q323" s="420"/>
      <c r="R323" s="420">
        <v>0</v>
      </c>
      <c r="S323" s="420">
        <v>0</v>
      </c>
      <c r="T323" s="259"/>
    </row>
    <row r="324" ht="15.75">
      <c r="A324" s="260" t="s">
        <v>821</v>
      </c>
      <c r="B324" s="289" t="s">
        <v>822</v>
      </c>
      <c r="C324" s="262" t="s">
        <v>817</v>
      </c>
      <c r="D324" s="417">
        <v>0</v>
      </c>
      <c r="E324" s="418"/>
      <c r="F324" s="419"/>
      <c r="G324" s="418"/>
      <c r="H324" s="419"/>
      <c r="I324" s="418"/>
      <c r="J324" s="420"/>
      <c r="K324" s="420"/>
      <c r="L324" s="420"/>
      <c r="M324" s="420"/>
      <c r="N324" s="420"/>
      <c r="O324" s="420"/>
      <c r="P324" s="420"/>
      <c r="Q324" s="420"/>
      <c r="R324" s="420">
        <v>0</v>
      </c>
      <c r="S324" s="420">
        <v>0</v>
      </c>
      <c r="T324" s="259"/>
    </row>
    <row r="325" ht="15.75">
      <c r="A325" s="260" t="s">
        <v>823</v>
      </c>
      <c r="B325" s="289" t="s">
        <v>824</v>
      </c>
      <c r="C325" s="262" t="s">
        <v>820</v>
      </c>
      <c r="D325" s="417">
        <v>0</v>
      </c>
      <c r="E325" s="418"/>
      <c r="F325" s="419"/>
      <c r="G325" s="418"/>
      <c r="H325" s="419"/>
      <c r="I325" s="418"/>
      <c r="J325" s="420"/>
      <c r="K325" s="420"/>
      <c r="L325" s="420"/>
      <c r="M325" s="420"/>
      <c r="N325" s="420"/>
      <c r="O325" s="420"/>
      <c r="P325" s="420"/>
      <c r="Q325" s="420"/>
      <c r="R325" s="420">
        <v>0</v>
      </c>
      <c r="S325" s="420">
        <v>0</v>
      </c>
      <c r="T325" s="259"/>
    </row>
    <row r="326" ht="15.75">
      <c r="A326" s="260" t="s">
        <v>825</v>
      </c>
      <c r="B326" s="289" t="s">
        <v>826</v>
      </c>
      <c r="C326" s="262" t="s">
        <v>827</v>
      </c>
      <c r="D326" s="417">
        <v>0</v>
      </c>
      <c r="E326" s="418"/>
      <c r="F326" s="419"/>
      <c r="G326" s="418"/>
      <c r="H326" s="419"/>
      <c r="I326" s="418"/>
      <c r="J326" s="420"/>
      <c r="K326" s="420"/>
      <c r="L326" s="420"/>
      <c r="M326" s="420"/>
      <c r="N326" s="420"/>
      <c r="O326" s="420"/>
      <c r="P326" s="420"/>
      <c r="Q326" s="420"/>
      <c r="R326" s="420">
        <v>0</v>
      </c>
      <c r="S326" s="420">
        <v>0</v>
      </c>
      <c r="T326" s="259"/>
    </row>
    <row r="327" ht="15.75">
      <c r="A327" s="260" t="s">
        <v>828</v>
      </c>
      <c r="B327" s="289" t="s">
        <v>829</v>
      </c>
      <c r="C327" s="262" t="s">
        <v>66</v>
      </c>
      <c r="D327" s="421"/>
      <c r="E327" s="418"/>
      <c r="F327" s="419"/>
      <c r="G327" s="418"/>
      <c r="H327" s="419"/>
      <c r="I327" s="418"/>
      <c r="J327" s="420"/>
      <c r="K327" s="420"/>
      <c r="L327" s="420"/>
      <c r="M327" s="420"/>
      <c r="N327" s="420"/>
      <c r="O327" s="420"/>
      <c r="P327" s="420"/>
      <c r="Q327" s="420"/>
      <c r="R327" s="420">
        <v>0</v>
      </c>
      <c r="S327" s="420">
        <v>0</v>
      </c>
      <c r="T327" s="416"/>
    </row>
    <row r="328" ht="15.75">
      <c r="A328" s="260" t="s">
        <v>830</v>
      </c>
      <c r="B328" s="267" t="s">
        <v>831</v>
      </c>
      <c r="C328" s="262" t="s">
        <v>827</v>
      </c>
      <c r="D328" s="417">
        <v>0</v>
      </c>
      <c r="E328" s="418"/>
      <c r="F328" s="419"/>
      <c r="G328" s="418"/>
      <c r="H328" s="419"/>
      <c r="I328" s="418"/>
      <c r="J328" s="420"/>
      <c r="K328" s="420"/>
      <c r="L328" s="420"/>
      <c r="M328" s="420"/>
      <c r="N328" s="420"/>
      <c r="O328" s="420"/>
      <c r="P328" s="420"/>
      <c r="Q328" s="420"/>
      <c r="R328" s="420">
        <v>0</v>
      </c>
      <c r="S328" s="420">
        <v>0</v>
      </c>
      <c r="T328" s="259"/>
    </row>
    <row r="329" ht="15.75">
      <c r="A329" s="260" t="s">
        <v>832</v>
      </c>
      <c r="B329" s="267" t="s">
        <v>833</v>
      </c>
      <c r="C329" s="262" t="s">
        <v>834</v>
      </c>
      <c r="D329" s="422">
        <v>0</v>
      </c>
      <c r="E329" s="418"/>
      <c r="F329" s="419"/>
      <c r="G329" s="418"/>
      <c r="H329" s="419"/>
      <c r="I329" s="418"/>
      <c r="J329" s="420"/>
      <c r="K329" s="420"/>
      <c r="L329" s="420"/>
      <c r="M329" s="420"/>
      <c r="N329" s="420"/>
      <c r="O329" s="420"/>
      <c r="P329" s="420"/>
      <c r="Q329" s="420"/>
      <c r="R329" s="420">
        <v>0</v>
      </c>
      <c r="S329" s="420">
        <v>0</v>
      </c>
      <c r="T329" s="259"/>
    </row>
    <row r="330" ht="15.75">
      <c r="A330" s="260" t="s">
        <v>835</v>
      </c>
      <c r="B330" s="289" t="s">
        <v>836</v>
      </c>
      <c r="C330" s="262" t="s">
        <v>66</v>
      </c>
      <c r="D330" s="423" t="s">
        <v>814</v>
      </c>
      <c r="E330" s="418"/>
      <c r="F330" s="419"/>
      <c r="G330" s="418"/>
      <c r="H330" s="419"/>
      <c r="I330" s="418"/>
      <c r="J330" s="420"/>
      <c r="K330" s="420"/>
      <c r="L330" s="420"/>
      <c r="M330" s="420"/>
      <c r="N330" s="420"/>
      <c r="O330" s="420"/>
      <c r="P330" s="420"/>
      <c r="Q330" s="420"/>
      <c r="R330" s="420">
        <v>0</v>
      </c>
      <c r="S330" s="420">
        <v>0</v>
      </c>
      <c r="T330" s="416"/>
    </row>
    <row r="331" ht="15.75">
      <c r="A331" s="260" t="s">
        <v>837</v>
      </c>
      <c r="B331" s="267" t="s">
        <v>831</v>
      </c>
      <c r="C331" s="262" t="s">
        <v>827</v>
      </c>
      <c r="D331" s="417">
        <v>0</v>
      </c>
      <c r="E331" s="418"/>
      <c r="F331" s="419"/>
      <c r="G331" s="418"/>
      <c r="H331" s="419"/>
      <c r="I331" s="418"/>
      <c r="J331" s="420"/>
      <c r="K331" s="420"/>
      <c r="L331" s="420"/>
      <c r="M331" s="420"/>
      <c r="N331" s="420"/>
      <c r="O331" s="420"/>
      <c r="P331" s="420"/>
      <c r="Q331" s="420"/>
      <c r="R331" s="420">
        <v>0</v>
      </c>
      <c r="S331" s="420">
        <v>0</v>
      </c>
      <c r="T331" s="259"/>
    </row>
    <row r="332" ht="15.75">
      <c r="A332" s="260" t="s">
        <v>838</v>
      </c>
      <c r="B332" s="267" t="s">
        <v>839</v>
      </c>
      <c r="C332" s="262" t="s">
        <v>817</v>
      </c>
      <c r="D332" s="417">
        <v>0</v>
      </c>
      <c r="E332" s="418"/>
      <c r="F332" s="419"/>
      <c r="G332" s="418"/>
      <c r="H332" s="419"/>
      <c r="I332" s="418"/>
      <c r="J332" s="420"/>
      <c r="K332" s="420"/>
      <c r="L332" s="420"/>
      <c r="M332" s="420"/>
      <c r="N332" s="420"/>
      <c r="O332" s="420"/>
      <c r="P332" s="420"/>
      <c r="Q332" s="420"/>
      <c r="R332" s="420">
        <v>0</v>
      </c>
      <c r="S332" s="420">
        <v>0</v>
      </c>
      <c r="T332" s="259"/>
    </row>
    <row r="333" ht="15.75">
      <c r="A333" s="260" t="s">
        <v>840</v>
      </c>
      <c r="B333" s="267" t="s">
        <v>833</v>
      </c>
      <c r="C333" s="262" t="s">
        <v>834</v>
      </c>
      <c r="D333" s="417">
        <v>0</v>
      </c>
      <c r="E333" s="418"/>
      <c r="F333" s="419"/>
      <c r="G333" s="418"/>
      <c r="H333" s="419"/>
      <c r="I333" s="418"/>
      <c r="J333" s="420"/>
      <c r="K333" s="420"/>
      <c r="L333" s="420"/>
      <c r="M333" s="420"/>
      <c r="N333" s="420"/>
      <c r="O333" s="420"/>
      <c r="P333" s="420"/>
      <c r="Q333" s="420"/>
      <c r="R333" s="420">
        <v>0</v>
      </c>
      <c r="S333" s="420">
        <v>0</v>
      </c>
      <c r="T333" s="259"/>
    </row>
    <row r="334" ht="15.75">
      <c r="A334" s="260" t="s">
        <v>841</v>
      </c>
      <c r="B334" s="289" t="s">
        <v>842</v>
      </c>
      <c r="C334" s="262" t="s">
        <v>66</v>
      </c>
      <c r="D334" s="423" t="s">
        <v>814</v>
      </c>
      <c r="E334" s="418"/>
      <c r="F334" s="419"/>
      <c r="G334" s="418"/>
      <c r="H334" s="419"/>
      <c r="I334" s="418"/>
      <c r="J334" s="420"/>
      <c r="K334" s="420"/>
      <c r="L334" s="420"/>
      <c r="M334" s="420"/>
      <c r="N334" s="420"/>
      <c r="O334" s="420"/>
      <c r="P334" s="420"/>
      <c r="Q334" s="420"/>
      <c r="R334" s="420">
        <v>0</v>
      </c>
      <c r="S334" s="420">
        <v>0</v>
      </c>
      <c r="T334" s="416"/>
    </row>
    <row r="335" ht="15.75">
      <c r="A335" s="260" t="s">
        <v>843</v>
      </c>
      <c r="B335" s="267" t="s">
        <v>831</v>
      </c>
      <c r="C335" s="262" t="s">
        <v>827</v>
      </c>
      <c r="D335" s="417">
        <v>0</v>
      </c>
      <c r="E335" s="418"/>
      <c r="F335" s="419"/>
      <c r="G335" s="418"/>
      <c r="H335" s="419"/>
      <c r="I335" s="418"/>
      <c r="J335" s="420"/>
      <c r="K335" s="420"/>
      <c r="L335" s="420"/>
      <c r="M335" s="420"/>
      <c r="N335" s="420"/>
      <c r="O335" s="420"/>
      <c r="P335" s="420"/>
      <c r="Q335" s="420"/>
      <c r="R335" s="420">
        <v>0</v>
      </c>
      <c r="S335" s="420">
        <v>0</v>
      </c>
      <c r="T335" s="259"/>
    </row>
    <row r="336" ht="15.75">
      <c r="A336" s="260" t="s">
        <v>844</v>
      </c>
      <c r="B336" s="267" t="s">
        <v>833</v>
      </c>
      <c r="C336" s="262" t="s">
        <v>834</v>
      </c>
      <c r="D336" s="417">
        <v>0</v>
      </c>
      <c r="E336" s="418"/>
      <c r="F336" s="419"/>
      <c r="G336" s="418"/>
      <c r="H336" s="419"/>
      <c r="I336" s="418"/>
      <c r="J336" s="420"/>
      <c r="K336" s="420"/>
      <c r="L336" s="420"/>
      <c r="M336" s="420"/>
      <c r="N336" s="420"/>
      <c r="O336" s="420"/>
      <c r="P336" s="420"/>
      <c r="Q336" s="420"/>
      <c r="R336" s="420">
        <v>0</v>
      </c>
      <c r="S336" s="420">
        <v>0</v>
      </c>
      <c r="T336" s="259"/>
    </row>
    <row r="337" ht="15.75">
      <c r="A337" s="260" t="s">
        <v>845</v>
      </c>
      <c r="B337" s="289" t="s">
        <v>846</v>
      </c>
      <c r="C337" s="262" t="s">
        <v>66</v>
      </c>
      <c r="D337" s="423" t="s">
        <v>814</v>
      </c>
      <c r="E337" s="418"/>
      <c r="F337" s="419"/>
      <c r="G337" s="418"/>
      <c r="H337" s="419"/>
      <c r="I337" s="418"/>
      <c r="J337" s="420"/>
      <c r="K337" s="420"/>
      <c r="L337" s="420"/>
      <c r="M337" s="420"/>
      <c r="N337" s="420"/>
      <c r="O337" s="420"/>
      <c r="P337" s="420"/>
      <c r="Q337" s="420"/>
      <c r="R337" s="420">
        <v>0</v>
      </c>
      <c r="S337" s="420">
        <v>0</v>
      </c>
      <c r="T337" s="416"/>
    </row>
    <row r="338" ht="15.75">
      <c r="A338" s="260" t="s">
        <v>847</v>
      </c>
      <c r="B338" s="267" t="s">
        <v>831</v>
      </c>
      <c r="C338" s="262" t="s">
        <v>827</v>
      </c>
      <c r="D338" s="417">
        <v>0</v>
      </c>
      <c r="E338" s="418"/>
      <c r="F338" s="419"/>
      <c r="G338" s="418"/>
      <c r="H338" s="419"/>
      <c r="I338" s="418"/>
      <c r="J338" s="420"/>
      <c r="K338" s="420"/>
      <c r="L338" s="420"/>
      <c r="M338" s="420"/>
      <c r="N338" s="420"/>
      <c r="O338" s="420"/>
      <c r="P338" s="420"/>
      <c r="Q338" s="420"/>
      <c r="R338" s="420">
        <v>0</v>
      </c>
      <c r="S338" s="420">
        <v>0</v>
      </c>
      <c r="T338" s="259"/>
    </row>
    <row r="339" ht="15.75">
      <c r="A339" s="260" t="s">
        <v>848</v>
      </c>
      <c r="B339" s="267" t="s">
        <v>839</v>
      </c>
      <c r="C339" s="262" t="s">
        <v>817</v>
      </c>
      <c r="D339" s="417">
        <v>0</v>
      </c>
      <c r="E339" s="418"/>
      <c r="F339" s="419"/>
      <c r="G339" s="418"/>
      <c r="H339" s="419"/>
      <c r="I339" s="418"/>
      <c r="J339" s="420"/>
      <c r="K339" s="420"/>
      <c r="L339" s="420"/>
      <c r="M339" s="420"/>
      <c r="N339" s="420"/>
      <c r="O339" s="420"/>
      <c r="P339" s="420"/>
      <c r="Q339" s="420"/>
      <c r="R339" s="420">
        <v>0</v>
      </c>
      <c r="S339" s="420">
        <v>0</v>
      </c>
      <c r="T339" s="259"/>
    </row>
    <row r="340" ht="16.5">
      <c r="A340" s="269" t="s">
        <v>849</v>
      </c>
      <c r="B340" s="424" t="s">
        <v>833</v>
      </c>
      <c r="C340" s="271" t="s">
        <v>834</v>
      </c>
      <c r="D340" s="425">
        <v>0</v>
      </c>
      <c r="E340" s="426"/>
      <c r="F340" s="427"/>
      <c r="G340" s="426"/>
      <c r="H340" s="427"/>
      <c r="I340" s="426"/>
      <c r="J340" s="428"/>
      <c r="K340" s="428"/>
      <c r="L340" s="428"/>
      <c r="M340" s="428"/>
      <c r="N340" s="428"/>
      <c r="O340" s="428"/>
      <c r="P340" s="428"/>
      <c r="Q340" s="428"/>
      <c r="R340" s="428">
        <v>0</v>
      </c>
      <c r="S340" s="428">
        <v>0</v>
      </c>
      <c r="T340" s="259"/>
    </row>
    <row r="341" ht="15.75">
      <c r="A341" s="340" t="s">
        <v>850</v>
      </c>
      <c r="B341" s="341" t="s">
        <v>851</v>
      </c>
      <c r="C341" s="342" t="s">
        <v>66</v>
      </c>
      <c r="D341" s="429"/>
      <c r="E341" s="430" t="s">
        <v>814</v>
      </c>
      <c r="F341" s="414" t="s">
        <v>814</v>
      </c>
      <c r="G341" s="413" t="s">
        <v>814</v>
      </c>
      <c r="H341" s="414" t="s">
        <v>814</v>
      </c>
      <c r="I341" s="413" t="s">
        <v>814</v>
      </c>
      <c r="J341" s="414" t="s">
        <v>814</v>
      </c>
      <c r="K341" s="413" t="s">
        <v>814</v>
      </c>
      <c r="L341" s="414" t="s">
        <v>814</v>
      </c>
      <c r="M341" s="413" t="s">
        <v>814</v>
      </c>
      <c r="N341" s="414" t="s">
        <v>814</v>
      </c>
      <c r="O341" s="413" t="s">
        <v>814</v>
      </c>
      <c r="P341" s="414" t="s">
        <v>814</v>
      </c>
      <c r="Q341" s="413" t="s">
        <v>814</v>
      </c>
      <c r="R341" s="414" t="s">
        <v>814</v>
      </c>
      <c r="S341" s="413" t="s">
        <v>814</v>
      </c>
      <c r="T341" s="416"/>
    </row>
    <row r="342" ht="31.5">
      <c r="A342" s="260" t="s">
        <v>852</v>
      </c>
      <c r="B342" s="289" t="s">
        <v>853</v>
      </c>
      <c r="C342" s="262" t="s">
        <v>827</v>
      </c>
      <c r="D342" s="268"/>
      <c r="E342" s="431">
        <f t="shared" ref="E342:E348" si="75">E343</f>
        <v>9.5729000000000006</v>
      </c>
      <c r="F342" s="308">
        <v>11.493499999999999</v>
      </c>
      <c r="G342" s="432"/>
      <c r="H342" s="308">
        <v>16.968</v>
      </c>
      <c r="I342" s="432">
        <f t="shared" ref="I342:I351" si="76">H342</f>
        <v>16.968</v>
      </c>
      <c r="J342" s="308">
        <f t="shared" ref="J342:J351" si="77">H342</f>
        <v>16.968</v>
      </c>
      <c r="K342" s="432">
        <f t="shared" ref="K342:K351" si="78">J342</f>
        <v>16.968</v>
      </c>
      <c r="L342" s="308">
        <v>18.824000000000002</v>
      </c>
      <c r="M342" s="432">
        <f t="shared" ref="M342:M351" si="79">L342</f>
        <v>18.824000000000002</v>
      </c>
      <c r="N342" s="308">
        <v>34.692</v>
      </c>
      <c r="O342" s="432">
        <f t="shared" ref="O342:O351" si="80">N342</f>
        <v>34.692</v>
      </c>
      <c r="P342" s="308">
        <f t="shared" ref="P342:P351" si="81">N342</f>
        <v>34.692</v>
      </c>
      <c r="Q342" s="432">
        <f t="shared" ref="Q342:Q351" si="82">P342</f>
        <v>34.692</v>
      </c>
      <c r="R342" s="308">
        <f t="shared" si="73"/>
        <v>122.14400000000001</v>
      </c>
      <c r="S342" s="432">
        <f t="shared" si="74"/>
        <v>122.14400000000001</v>
      </c>
      <c r="T342" s="259"/>
    </row>
    <row r="343" ht="31.5">
      <c r="A343" s="260" t="s">
        <v>854</v>
      </c>
      <c r="B343" s="267" t="s">
        <v>855</v>
      </c>
      <c r="C343" s="262" t="s">
        <v>827</v>
      </c>
      <c r="D343" s="263"/>
      <c r="E343" s="318">
        <f t="shared" si="75"/>
        <v>9.5729000000000006</v>
      </c>
      <c r="F343" s="308">
        <f>F342</f>
        <v>11.493499999999999</v>
      </c>
      <c r="G343" s="432"/>
      <c r="H343" s="308">
        <f t="shared" ref="H343:H344" si="83">H342</f>
        <v>16.968</v>
      </c>
      <c r="I343" s="432">
        <f t="shared" si="76"/>
        <v>16.968</v>
      </c>
      <c r="J343" s="308">
        <f t="shared" si="77"/>
        <v>16.968</v>
      </c>
      <c r="K343" s="432">
        <f t="shared" si="78"/>
        <v>16.968</v>
      </c>
      <c r="L343" s="308">
        <v>18.824000000000002</v>
      </c>
      <c r="M343" s="432">
        <f t="shared" si="79"/>
        <v>18.824000000000002</v>
      </c>
      <c r="N343" s="308">
        <v>34.692</v>
      </c>
      <c r="O343" s="432">
        <f t="shared" si="80"/>
        <v>34.692</v>
      </c>
      <c r="P343" s="308">
        <f t="shared" si="81"/>
        <v>34.692</v>
      </c>
      <c r="Q343" s="432">
        <f t="shared" si="82"/>
        <v>34.692</v>
      </c>
      <c r="R343" s="308">
        <f t="shared" si="73"/>
        <v>122.14400000000001</v>
      </c>
      <c r="S343" s="432">
        <f t="shared" si="74"/>
        <v>122.14400000000001</v>
      </c>
      <c r="T343" s="259"/>
    </row>
    <row r="344" ht="15.75">
      <c r="A344" s="260" t="s">
        <v>856</v>
      </c>
      <c r="B344" s="261" t="s">
        <v>857</v>
      </c>
      <c r="C344" s="262" t="s">
        <v>827</v>
      </c>
      <c r="D344" s="268"/>
      <c r="E344" s="431">
        <v>9.5729000000000006</v>
      </c>
      <c r="F344" s="308">
        <f>F342</f>
        <v>11.493499999999999</v>
      </c>
      <c r="G344" s="432"/>
      <c r="H344" s="308">
        <f t="shared" si="83"/>
        <v>16.968</v>
      </c>
      <c r="I344" s="432">
        <f t="shared" si="76"/>
        <v>16.968</v>
      </c>
      <c r="J344" s="308">
        <f t="shared" si="77"/>
        <v>16.968</v>
      </c>
      <c r="K344" s="432">
        <f t="shared" si="78"/>
        <v>16.968</v>
      </c>
      <c r="L344" s="308">
        <v>18.824000000000002</v>
      </c>
      <c r="M344" s="432">
        <f t="shared" si="79"/>
        <v>18.824000000000002</v>
      </c>
      <c r="N344" s="308">
        <v>34.692</v>
      </c>
      <c r="O344" s="432">
        <f t="shared" si="80"/>
        <v>34.692</v>
      </c>
      <c r="P344" s="308">
        <f t="shared" si="81"/>
        <v>34.692</v>
      </c>
      <c r="Q344" s="432">
        <f t="shared" si="82"/>
        <v>34.692</v>
      </c>
      <c r="R344" s="308">
        <f t="shared" ref="R344:R368" si="84">H344+J344+L344+N344+P344</f>
        <v>122.14400000000001</v>
      </c>
      <c r="S344" s="432">
        <f t="shared" ref="S344:S368" si="85">I344+K344+M344+O344+Q344</f>
        <v>122.14400000000001</v>
      </c>
      <c r="T344" s="259"/>
    </row>
    <row r="345" ht="15.75">
      <c r="A345" s="260" t="s">
        <v>858</v>
      </c>
      <c r="B345" s="261" t="s">
        <v>859</v>
      </c>
      <c r="C345" s="262" t="s">
        <v>827</v>
      </c>
      <c r="D345" s="268"/>
      <c r="E345" s="431"/>
      <c r="F345" s="308"/>
      <c r="G345" s="432"/>
      <c r="H345" s="308">
        <f>F345</f>
        <v>0</v>
      </c>
      <c r="I345" s="432"/>
      <c r="J345" s="308">
        <f t="shared" si="77"/>
        <v>0</v>
      </c>
      <c r="K345" s="432"/>
      <c r="L345" s="308">
        <f t="shared" ref="L343:L351" si="86">J345</f>
        <v>0</v>
      </c>
      <c r="M345" s="432"/>
      <c r="N345" s="308">
        <f t="shared" ref="N343:N351" si="87">L345</f>
        <v>0</v>
      </c>
      <c r="O345" s="432"/>
      <c r="P345" s="308">
        <f t="shared" si="81"/>
        <v>0</v>
      </c>
      <c r="Q345" s="432"/>
      <c r="R345" s="308">
        <f t="shared" si="84"/>
        <v>0</v>
      </c>
      <c r="S345" s="432">
        <f t="shared" si="85"/>
        <v>0</v>
      </c>
      <c r="T345" s="259"/>
    </row>
    <row r="346" ht="15.75">
      <c r="A346" s="260" t="s">
        <v>860</v>
      </c>
      <c r="B346" s="289" t="s">
        <v>861</v>
      </c>
      <c r="C346" s="262" t="s">
        <v>827</v>
      </c>
      <c r="D346" s="268"/>
      <c r="E346" s="431">
        <v>0.80279999999999996</v>
      </c>
      <c r="F346" s="308">
        <v>1.47</v>
      </c>
      <c r="G346" s="432"/>
      <c r="H346" s="308">
        <v>1.423</v>
      </c>
      <c r="I346" s="432">
        <f t="shared" si="76"/>
        <v>1.423</v>
      </c>
      <c r="J346" s="308">
        <f t="shared" si="77"/>
        <v>1.423</v>
      </c>
      <c r="K346" s="432">
        <f t="shared" si="78"/>
        <v>1.423</v>
      </c>
      <c r="L346" s="308">
        <v>1.579</v>
      </c>
      <c r="M346" s="432">
        <f t="shared" si="79"/>
        <v>1.579</v>
      </c>
      <c r="N346" s="308">
        <v>2.9100000000000001</v>
      </c>
      <c r="O346" s="432">
        <f t="shared" si="80"/>
        <v>2.9100000000000001</v>
      </c>
      <c r="P346" s="308">
        <f t="shared" si="81"/>
        <v>2.9100000000000001</v>
      </c>
      <c r="Q346" s="432">
        <f t="shared" si="82"/>
        <v>2.9100000000000001</v>
      </c>
      <c r="R346" s="308">
        <f t="shared" si="84"/>
        <v>10.245000000000001</v>
      </c>
      <c r="S346" s="432">
        <f t="shared" si="85"/>
        <v>10.245000000000001</v>
      </c>
      <c r="T346" s="259"/>
    </row>
    <row r="347" ht="15.75">
      <c r="A347" s="260" t="s">
        <v>862</v>
      </c>
      <c r="B347" s="289" t="s">
        <v>863</v>
      </c>
      <c r="C347" s="262" t="s">
        <v>817</v>
      </c>
      <c r="D347" s="433"/>
      <c r="E347" s="431">
        <f t="shared" si="75"/>
        <v>1.1792</v>
      </c>
      <c r="F347" s="308">
        <v>1.5509999999999999</v>
      </c>
      <c r="G347" s="432"/>
      <c r="H347" s="308">
        <v>2.3746</v>
      </c>
      <c r="I347" s="432">
        <f t="shared" si="76"/>
        <v>2.3746</v>
      </c>
      <c r="J347" s="308">
        <f t="shared" si="77"/>
        <v>2.3746</v>
      </c>
      <c r="K347" s="432">
        <f t="shared" si="78"/>
        <v>2.3746</v>
      </c>
      <c r="L347" s="308">
        <v>2.6131000000000002</v>
      </c>
      <c r="M347" s="432">
        <f t="shared" si="79"/>
        <v>2.6131000000000002</v>
      </c>
      <c r="N347" s="308">
        <v>4.8159000000000001</v>
      </c>
      <c r="O347" s="432">
        <f t="shared" si="80"/>
        <v>4.8159000000000001</v>
      </c>
      <c r="P347" s="308">
        <f t="shared" si="81"/>
        <v>4.8159000000000001</v>
      </c>
      <c r="Q347" s="432">
        <f t="shared" si="82"/>
        <v>4.8159000000000001</v>
      </c>
      <c r="R347" s="308">
        <f t="shared" si="84"/>
        <v>16.9941</v>
      </c>
      <c r="S347" s="432">
        <f t="shared" si="85"/>
        <v>16.9941</v>
      </c>
      <c r="T347" s="259"/>
    </row>
    <row r="348" ht="31.5">
      <c r="A348" s="260" t="s">
        <v>864</v>
      </c>
      <c r="B348" s="267" t="s">
        <v>865</v>
      </c>
      <c r="C348" s="262" t="s">
        <v>817</v>
      </c>
      <c r="D348" s="263"/>
      <c r="E348" s="318">
        <f t="shared" si="75"/>
        <v>1.1792</v>
      </c>
      <c r="F348" s="308">
        <f t="shared" ref="F348:F349" si="88">F347</f>
        <v>1.5509999999999999</v>
      </c>
      <c r="G348" s="432"/>
      <c r="H348" s="308">
        <f t="shared" ref="H348:H349" si="89">H347</f>
        <v>2.3746</v>
      </c>
      <c r="I348" s="432">
        <f t="shared" si="76"/>
        <v>2.3746</v>
      </c>
      <c r="J348" s="308">
        <f t="shared" si="77"/>
        <v>2.3746</v>
      </c>
      <c r="K348" s="432">
        <f t="shared" si="78"/>
        <v>2.3746</v>
      </c>
      <c r="L348" s="308">
        <v>2.6131000000000002</v>
      </c>
      <c r="M348" s="432">
        <f t="shared" si="79"/>
        <v>2.6131000000000002</v>
      </c>
      <c r="N348" s="308">
        <v>4.8159000000000001</v>
      </c>
      <c r="O348" s="432">
        <f t="shared" si="80"/>
        <v>4.8159000000000001</v>
      </c>
      <c r="P348" s="308">
        <f t="shared" si="81"/>
        <v>4.8159000000000001</v>
      </c>
      <c r="Q348" s="432">
        <f t="shared" si="82"/>
        <v>4.8159000000000001</v>
      </c>
      <c r="R348" s="308">
        <f t="shared" si="84"/>
        <v>16.9941</v>
      </c>
      <c r="S348" s="432">
        <f t="shared" si="85"/>
        <v>16.9941</v>
      </c>
      <c r="T348" s="259"/>
    </row>
    <row r="349" ht="15.75">
      <c r="A349" s="260" t="s">
        <v>866</v>
      </c>
      <c r="B349" s="261" t="s">
        <v>857</v>
      </c>
      <c r="C349" s="262" t="s">
        <v>817</v>
      </c>
      <c r="D349" s="263"/>
      <c r="E349" s="318">
        <v>1.1792</v>
      </c>
      <c r="F349" s="308">
        <f t="shared" si="88"/>
        <v>1.5509999999999999</v>
      </c>
      <c r="G349" s="432"/>
      <c r="H349" s="308">
        <f t="shared" si="89"/>
        <v>2.3746</v>
      </c>
      <c r="I349" s="432">
        <f t="shared" si="76"/>
        <v>2.3746</v>
      </c>
      <c r="J349" s="308">
        <f t="shared" si="77"/>
        <v>2.3746</v>
      </c>
      <c r="K349" s="432">
        <f t="shared" si="78"/>
        <v>2.3746</v>
      </c>
      <c r="L349" s="308">
        <v>2.6131000000000002</v>
      </c>
      <c r="M349" s="432">
        <f t="shared" si="79"/>
        <v>2.6131000000000002</v>
      </c>
      <c r="N349" s="308">
        <v>4.8159000000000001</v>
      </c>
      <c r="O349" s="432">
        <f t="shared" si="80"/>
        <v>4.8159000000000001</v>
      </c>
      <c r="P349" s="308">
        <f t="shared" si="81"/>
        <v>4.8159000000000001</v>
      </c>
      <c r="Q349" s="432">
        <f t="shared" si="82"/>
        <v>4.8159000000000001</v>
      </c>
      <c r="R349" s="308">
        <f t="shared" si="84"/>
        <v>16.9941</v>
      </c>
      <c r="S349" s="432">
        <f t="shared" si="85"/>
        <v>16.9941</v>
      </c>
      <c r="T349" s="259"/>
    </row>
    <row r="350" ht="15.75">
      <c r="A350" s="260" t="s">
        <v>867</v>
      </c>
      <c r="B350" s="261" t="s">
        <v>859</v>
      </c>
      <c r="C350" s="262" t="s">
        <v>817</v>
      </c>
      <c r="D350" s="263"/>
      <c r="E350" s="318"/>
      <c r="F350" s="308"/>
      <c r="G350" s="432"/>
      <c r="H350" s="308">
        <f>F350</f>
        <v>0</v>
      </c>
      <c r="I350" s="432"/>
      <c r="J350" s="308">
        <f t="shared" si="77"/>
        <v>0</v>
      </c>
      <c r="K350" s="432"/>
      <c r="L350" s="308">
        <f t="shared" si="86"/>
        <v>0</v>
      </c>
      <c r="M350" s="432"/>
      <c r="N350" s="308">
        <f t="shared" si="87"/>
        <v>0</v>
      </c>
      <c r="O350" s="432"/>
      <c r="P350" s="308">
        <f t="shared" si="81"/>
        <v>0</v>
      </c>
      <c r="Q350" s="432"/>
      <c r="R350" s="308">
        <f t="shared" si="84"/>
        <v>0</v>
      </c>
      <c r="S350" s="432">
        <f t="shared" si="85"/>
        <v>0</v>
      </c>
      <c r="T350" s="259"/>
    </row>
    <row r="351" ht="15.75">
      <c r="A351" s="260" t="s">
        <v>868</v>
      </c>
      <c r="B351" s="289" t="s">
        <v>869</v>
      </c>
      <c r="C351" s="262" t="s">
        <v>870</v>
      </c>
      <c r="D351" s="434"/>
      <c r="E351" s="431">
        <v>214.56</v>
      </c>
      <c r="F351" s="308">
        <v>260.23000000000002</v>
      </c>
      <c r="G351" s="432"/>
      <c r="H351" s="308">
        <v>401.12</v>
      </c>
      <c r="I351" s="432">
        <f t="shared" si="76"/>
        <v>401.12</v>
      </c>
      <c r="J351" s="308">
        <f t="shared" si="77"/>
        <v>401.12</v>
      </c>
      <c r="K351" s="432">
        <f t="shared" si="78"/>
        <v>401.12</v>
      </c>
      <c r="L351" s="308">
        <v>530.39999999999998</v>
      </c>
      <c r="M351" s="432">
        <f t="shared" si="79"/>
        <v>530.39999999999998</v>
      </c>
      <c r="N351" s="308">
        <f>L351+289.13</f>
        <v>819.52999999999997</v>
      </c>
      <c r="O351" s="432">
        <f t="shared" si="80"/>
        <v>819.52999999999997</v>
      </c>
      <c r="P351" s="308">
        <f t="shared" si="81"/>
        <v>819.52999999999997</v>
      </c>
      <c r="Q351" s="432">
        <f t="shared" si="82"/>
        <v>819.52999999999997</v>
      </c>
      <c r="R351" s="308">
        <f t="shared" si="84"/>
        <v>2971.6999999999998</v>
      </c>
      <c r="S351" s="432">
        <f t="shared" si="85"/>
        <v>2971.6999999999998</v>
      </c>
      <c r="T351" s="259"/>
    </row>
    <row r="352" ht="32.25">
      <c r="A352" s="329" t="s">
        <v>871</v>
      </c>
      <c r="B352" s="401" t="s">
        <v>872</v>
      </c>
      <c r="C352" s="331" t="s">
        <v>354</v>
      </c>
      <c r="D352" s="435"/>
      <c r="E352" s="436">
        <f t="shared" ref="E352:Q352" si="90">E29-E63-E64-E57</f>
        <v>8.8632799999999996</v>
      </c>
      <c r="F352" s="437">
        <f>F29-F63-F64-F57</f>
        <v>8.2405000000000008</v>
      </c>
      <c r="G352" s="438">
        <f t="shared" si="90"/>
        <v>0</v>
      </c>
      <c r="H352" s="437">
        <f>H29-H63-H64-H57</f>
        <v>15.293799999999999</v>
      </c>
      <c r="I352" s="438">
        <f t="shared" si="90"/>
        <v>15.293799999999999</v>
      </c>
      <c r="J352" s="437">
        <f t="shared" si="90"/>
        <v>15.886599999999998</v>
      </c>
      <c r="K352" s="438">
        <f t="shared" si="90"/>
        <v>15.886599999999998</v>
      </c>
      <c r="L352" s="437">
        <f t="shared" si="90"/>
        <v>20.900199999999998</v>
      </c>
      <c r="M352" s="438">
        <f t="shared" si="90"/>
        <v>20.900199999999998</v>
      </c>
      <c r="N352" s="437">
        <f t="shared" si="90"/>
        <v>32.677217599999992</v>
      </c>
      <c r="O352" s="438">
        <f t="shared" si="90"/>
        <v>32.677217599999992</v>
      </c>
      <c r="P352" s="437">
        <f t="shared" si="90"/>
        <v>32.307224703999992</v>
      </c>
      <c r="Q352" s="438">
        <f t="shared" si="90"/>
        <v>32.307224703999992</v>
      </c>
      <c r="R352" s="437">
        <f t="shared" si="84"/>
        <v>117.06504230399997</v>
      </c>
      <c r="S352" s="438">
        <f t="shared" si="85"/>
        <v>117.06504230399997</v>
      </c>
      <c r="T352" s="259"/>
    </row>
    <row r="353" ht="15.75">
      <c r="A353" s="340" t="s">
        <v>873</v>
      </c>
      <c r="B353" s="341" t="s">
        <v>874</v>
      </c>
      <c r="C353" s="342" t="s">
        <v>66</v>
      </c>
      <c r="D353" s="439"/>
      <c r="E353" s="430" t="s">
        <v>814</v>
      </c>
      <c r="F353" s="414" t="s">
        <v>814</v>
      </c>
      <c r="G353" s="413" t="s">
        <v>814</v>
      </c>
      <c r="H353" s="414" t="s">
        <v>814</v>
      </c>
      <c r="I353" s="413" t="s">
        <v>814</v>
      </c>
      <c r="J353" s="414" t="s">
        <v>814</v>
      </c>
      <c r="K353" s="413" t="s">
        <v>814</v>
      </c>
      <c r="L353" s="414" t="s">
        <v>814</v>
      </c>
      <c r="M353" s="413" t="s">
        <v>814</v>
      </c>
      <c r="N353" s="414" t="s">
        <v>814</v>
      </c>
      <c r="O353" s="413" t="s">
        <v>814</v>
      </c>
      <c r="P353" s="414" t="s">
        <v>814</v>
      </c>
      <c r="Q353" s="413" t="s">
        <v>814</v>
      </c>
      <c r="R353" s="414" t="s">
        <v>814</v>
      </c>
      <c r="S353" s="413" t="s">
        <v>814</v>
      </c>
      <c r="T353" s="416"/>
    </row>
    <row r="354" ht="15.75">
      <c r="A354" s="260" t="s">
        <v>875</v>
      </c>
      <c r="B354" s="289" t="s">
        <v>876</v>
      </c>
      <c r="C354" s="262" t="s">
        <v>827</v>
      </c>
      <c r="D354" s="417"/>
      <c r="E354" s="440"/>
      <c r="F354" s="441"/>
      <c r="G354" s="442"/>
      <c r="H354" s="441"/>
      <c r="I354" s="442"/>
      <c r="J354" s="441"/>
      <c r="K354" s="442"/>
      <c r="L354" s="441"/>
      <c r="M354" s="442"/>
      <c r="N354" s="441"/>
      <c r="O354" s="442"/>
      <c r="P354" s="441"/>
      <c r="Q354" s="442"/>
      <c r="R354" s="441">
        <f t="shared" si="84"/>
        <v>0</v>
      </c>
      <c r="S354" s="442">
        <f t="shared" si="85"/>
        <v>0</v>
      </c>
      <c r="T354" s="259"/>
    </row>
    <row r="355" ht="15.75">
      <c r="A355" s="260" t="s">
        <v>877</v>
      </c>
      <c r="B355" s="289" t="s">
        <v>878</v>
      </c>
      <c r="C355" s="262" t="s">
        <v>820</v>
      </c>
      <c r="D355" s="417"/>
      <c r="E355" s="440"/>
      <c r="F355" s="441"/>
      <c r="G355" s="442"/>
      <c r="H355" s="441"/>
      <c r="I355" s="442"/>
      <c r="J355" s="441"/>
      <c r="K355" s="442"/>
      <c r="L355" s="441"/>
      <c r="M355" s="442"/>
      <c r="N355" s="441"/>
      <c r="O355" s="442"/>
      <c r="P355" s="441"/>
      <c r="Q355" s="442"/>
      <c r="R355" s="441">
        <f t="shared" si="84"/>
        <v>0</v>
      </c>
      <c r="S355" s="442">
        <f t="shared" si="85"/>
        <v>0</v>
      </c>
      <c r="T355" s="259"/>
    </row>
    <row r="356" ht="47.25">
      <c r="A356" s="260" t="s">
        <v>879</v>
      </c>
      <c r="B356" s="289" t="s">
        <v>880</v>
      </c>
      <c r="C356" s="262" t="s">
        <v>354</v>
      </c>
      <c r="D356" s="417"/>
      <c r="E356" s="440"/>
      <c r="F356" s="441"/>
      <c r="G356" s="442"/>
      <c r="H356" s="441"/>
      <c r="I356" s="442"/>
      <c r="J356" s="441"/>
      <c r="K356" s="442"/>
      <c r="L356" s="441"/>
      <c r="M356" s="442"/>
      <c r="N356" s="441"/>
      <c r="O356" s="442"/>
      <c r="P356" s="441"/>
      <c r="Q356" s="442"/>
      <c r="R356" s="441">
        <f t="shared" si="84"/>
        <v>0</v>
      </c>
      <c r="S356" s="442">
        <f t="shared" si="85"/>
        <v>0</v>
      </c>
      <c r="T356" s="259"/>
    </row>
    <row r="357" ht="32.25">
      <c r="A357" s="269" t="s">
        <v>881</v>
      </c>
      <c r="B357" s="362" t="s">
        <v>882</v>
      </c>
      <c r="C357" s="271" t="s">
        <v>354</v>
      </c>
      <c r="D357" s="425"/>
      <c r="E357" s="443"/>
      <c r="F357" s="444"/>
      <c r="G357" s="445"/>
      <c r="H357" s="444"/>
      <c r="I357" s="445"/>
      <c r="J357" s="444"/>
      <c r="K357" s="445"/>
      <c r="L357" s="444"/>
      <c r="M357" s="445"/>
      <c r="N357" s="444"/>
      <c r="O357" s="445"/>
      <c r="P357" s="444"/>
      <c r="Q357" s="445"/>
      <c r="R357" s="444">
        <f t="shared" si="84"/>
        <v>0</v>
      </c>
      <c r="S357" s="445">
        <f t="shared" si="85"/>
        <v>0</v>
      </c>
      <c r="T357" s="259"/>
    </row>
    <row r="358" ht="15.75">
      <c r="A358" s="340" t="s">
        <v>883</v>
      </c>
      <c r="B358" s="341" t="s">
        <v>884</v>
      </c>
      <c r="C358" s="430" t="s">
        <v>66</v>
      </c>
      <c r="D358" s="446"/>
      <c r="E358" s="430" t="s">
        <v>814</v>
      </c>
      <c r="F358" s="414" t="s">
        <v>814</v>
      </c>
      <c r="G358" s="413" t="s">
        <v>814</v>
      </c>
      <c r="H358" s="414" t="s">
        <v>814</v>
      </c>
      <c r="I358" s="413" t="s">
        <v>814</v>
      </c>
      <c r="J358" s="414" t="s">
        <v>814</v>
      </c>
      <c r="K358" s="413" t="s">
        <v>814</v>
      </c>
      <c r="L358" s="414" t="s">
        <v>814</v>
      </c>
      <c r="M358" s="413" t="s">
        <v>814</v>
      </c>
      <c r="N358" s="414" t="s">
        <v>814</v>
      </c>
      <c r="O358" s="413" t="s">
        <v>814</v>
      </c>
      <c r="P358" s="414" t="s">
        <v>814</v>
      </c>
      <c r="Q358" s="413" t="s">
        <v>814</v>
      </c>
      <c r="R358" s="414"/>
      <c r="S358" s="413"/>
      <c r="T358" s="416"/>
    </row>
    <row r="359" ht="18" customHeight="1">
      <c r="A359" s="260" t="s">
        <v>885</v>
      </c>
      <c r="B359" s="289" t="s">
        <v>886</v>
      </c>
      <c r="C359" s="262" t="s">
        <v>817</v>
      </c>
      <c r="D359" s="422"/>
      <c r="E359" s="447"/>
      <c r="F359" s="419"/>
      <c r="G359" s="418"/>
      <c r="H359" s="419"/>
      <c r="I359" s="418"/>
      <c r="J359" s="419"/>
      <c r="K359" s="418"/>
      <c r="L359" s="419"/>
      <c r="M359" s="418"/>
      <c r="N359" s="419"/>
      <c r="O359" s="418"/>
      <c r="P359" s="419"/>
      <c r="Q359" s="418"/>
      <c r="R359" s="419">
        <f t="shared" si="84"/>
        <v>0</v>
      </c>
      <c r="S359" s="418">
        <f t="shared" si="85"/>
        <v>0</v>
      </c>
      <c r="T359" s="259"/>
    </row>
    <row r="360" ht="47.25">
      <c r="A360" s="260" t="s">
        <v>887</v>
      </c>
      <c r="B360" s="267" t="s">
        <v>888</v>
      </c>
      <c r="C360" s="262" t="s">
        <v>817</v>
      </c>
      <c r="D360" s="422"/>
      <c r="E360" s="447"/>
      <c r="F360" s="419"/>
      <c r="G360" s="418"/>
      <c r="H360" s="419"/>
      <c r="I360" s="418"/>
      <c r="J360" s="419"/>
      <c r="K360" s="418"/>
      <c r="L360" s="419"/>
      <c r="M360" s="418"/>
      <c r="N360" s="419"/>
      <c r="O360" s="418"/>
      <c r="P360" s="419"/>
      <c r="Q360" s="418"/>
      <c r="R360" s="419">
        <f t="shared" si="84"/>
        <v>0</v>
      </c>
      <c r="S360" s="418">
        <f t="shared" si="85"/>
        <v>0</v>
      </c>
      <c r="T360" s="259"/>
    </row>
    <row r="361" ht="47.25">
      <c r="A361" s="260" t="s">
        <v>889</v>
      </c>
      <c r="B361" s="267" t="s">
        <v>890</v>
      </c>
      <c r="C361" s="262" t="s">
        <v>817</v>
      </c>
      <c r="D361" s="422"/>
      <c r="E361" s="447"/>
      <c r="F361" s="419"/>
      <c r="G361" s="418"/>
      <c r="H361" s="419"/>
      <c r="I361" s="418"/>
      <c r="J361" s="419"/>
      <c r="K361" s="418"/>
      <c r="L361" s="419"/>
      <c r="M361" s="418"/>
      <c r="N361" s="419"/>
      <c r="O361" s="418"/>
      <c r="P361" s="419"/>
      <c r="Q361" s="418"/>
      <c r="R361" s="419">
        <f t="shared" si="84"/>
        <v>0</v>
      </c>
      <c r="S361" s="418">
        <f t="shared" si="85"/>
        <v>0</v>
      </c>
      <c r="T361" s="259"/>
    </row>
    <row r="362" ht="31.5">
      <c r="A362" s="260" t="s">
        <v>891</v>
      </c>
      <c r="B362" s="267" t="s">
        <v>892</v>
      </c>
      <c r="C362" s="262" t="s">
        <v>817</v>
      </c>
      <c r="D362" s="422"/>
      <c r="E362" s="447"/>
      <c r="F362" s="419"/>
      <c r="G362" s="418"/>
      <c r="H362" s="419"/>
      <c r="I362" s="418"/>
      <c r="J362" s="419"/>
      <c r="K362" s="418"/>
      <c r="L362" s="419"/>
      <c r="M362" s="418"/>
      <c r="N362" s="419"/>
      <c r="O362" s="418"/>
      <c r="P362" s="419"/>
      <c r="Q362" s="418"/>
      <c r="R362" s="419">
        <f t="shared" si="84"/>
        <v>0</v>
      </c>
      <c r="S362" s="418">
        <f t="shared" si="85"/>
        <v>0</v>
      </c>
      <c r="T362" s="259"/>
    </row>
    <row r="363" ht="15.75">
      <c r="A363" s="260" t="s">
        <v>893</v>
      </c>
      <c r="B363" s="289" t="s">
        <v>894</v>
      </c>
      <c r="C363" s="262" t="s">
        <v>827</v>
      </c>
      <c r="D363" s="422"/>
      <c r="E363" s="447"/>
      <c r="F363" s="419"/>
      <c r="G363" s="418"/>
      <c r="H363" s="419"/>
      <c r="I363" s="418"/>
      <c r="J363" s="419"/>
      <c r="K363" s="418"/>
      <c r="L363" s="419"/>
      <c r="M363" s="418"/>
      <c r="N363" s="419"/>
      <c r="O363" s="418"/>
      <c r="P363" s="419"/>
      <c r="Q363" s="418"/>
      <c r="R363" s="419">
        <f t="shared" si="84"/>
        <v>0</v>
      </c>
      <c r="S363" s="418">
        <f t="shared" si="85"/>
        <v>0</v>
      </c>
      <c r="T363" s="259"/>
    </row>
    <row r="364" ht="31.5">
      <c r="A364" s="260" t="s">
        <v>895</v>
      </c>
      <c r="B364" s="267" t="s">
        <v>896</v>
      </c>
      <c r="C364" s="262" t="s">
        <v>827</v>
      </c>
      <c r="D364" s="422"/>
      <c r="E364" s="447"/>
      <c r="F364" s="419"/>
      <c r="G364" s="418"/>
      <c r="H364" s="419"/>
      <c r="I364" s="418"/>
      <c r="J364" s="419"/>
      <c r="K364" s="418"/>
      <c r="L364" s="419"/>
      <c r="M364" s="418"/>
      <c r="N364" s="419"/>
      <c r="O364" s="418"/>
      <c r="P364" s="419"/>
      <c r="Q364" s="418"/>
      <c r="R364" s="419">
        <f t="shared" si="84"/>
        <v>0</v>
      </c>
      <c r="S364" s="418">
        <f t="shared" si="85"/>
        <v>0</v>
      </c>
      <c r="T364" s="259"/>
    </row>
    <row r="365" ht="15.75">
      <c r="A365" s="260" t="s">
        <v>897</v>
      </c>
      <c r="B365" s="267" t="s">
        <v>898</v>
      </c>
      <c r="C365" s="262" t="s">
        <v>827</v>
      </c>
      <c r="D365" s="422"/>
      <c r="E365" s="447"/>
      <c r="F365" s="419"/>
      <c r="G365" s="418"/>
      <c r="H365" s="419"/>
      <c r="I365" s="418"/>
      <c r="J365" s="419"/>
      <c r="K365" s="418"/>
      <c r="L365" s="419"/>
      <c r="M365" s="418"/>
      <c r="N365" s="419"/>
      <c r="O365" s="418"/>
      <c r="P365" s="419"/>
      <c r="Q365" s="418"/>
      <c r="R365" s="419">
        <f t="shared" si="84"/>
        <v>0</v>
      </c>
      <c r="S365" s="418">
        <f t="shared" si="85"/>
        <v>0</v>
      </c>
      <c r="T365" s="259"/>
    </row>
    <row r="366" ht="31.5">
      <c r="A366" s="260" t="s">
        <v>899</v>
      </c>
      <c r="B366" s="289" t="s">
        <v>900</v>
      </c>
      <c r="C366" s="262" t="s">
        <v>354</v>
      </c>
      <c r="D366" s="422"/>
      <c r="E366" s="447"/>
      <c r="F366" s="419"/>
      <c r="G366" s="418"/>
      <c r="H366" s="419"/>
      <c r="I366" s="418"/>
      <c r="J366" s="419"/>
      <c r="K366" s="418"/>
      <c r="L366" s="419"/>
      <c r="M366" s="418"/>
      <c r="N366" s="419"/>
      <c r="O366" s="418"/>
      <c r="P366" s="419"/>
      <c r="Q366" s="418"/>
      <c r="R366" s="419">
        <f t="shared" si="84"/>
        <v>0</v>
      </c>
      <c r="S366" s="418">
        <f t="shared" si="85"/>
        <v>0</v>
      </c>
      <c r="T366" s="259"/>
    </row>
    <row r="367" ht="15.75">
      <c r="A367" s="260" t="s">
        <v>901</v>
      </c>
      <c r="B367" s="267" t="s">
        <v>902</v>
      </c>
      <c r="C367" s="262" t="s">
        <v>354</v>
      </c>
      <c r="D367" s="422"/>
      <c r="E367" s="447"/>
      <c r="F367" s="419"/>
      <c r="G367" s="418"/>
      <c r="H367" s="419"/>
      <c r="I367" s="418"/>
      <c r="J367" s="419"/>
      <c r="K367" s="418"/>
      <c r="L367" s="419"/>
      <c r="M367" s="418"/>
      <c r="N367" s="419"/>
      <c r="O367" s="418"/>
      <c r="P367" s="419"/>
      <c r="Q367" s="418"/>
      <c r="R367" s="419">
        <f t="shared" si="84"/>
        <v>0</v>
      </c>
      <c r="S367" s="418">
        <f t="shared" si="85"/>
        <v>0</v>
      </c>
      <c r="T367" s="259"/>
    </row>
    <row r="368" ht="16.5">
      <c r="A368" s="269" t="s">
        <v>903</v>
      </c>
      <c r="B368" s="424" t="s">
        <v>372</v>
      </c>
      <c r="C368" s="271" t="s">
        <v>354</v>
      </c>
      <c r="D368" s="425"/>
      <c r="E368" s="448"/>
      <c r="F368" s="427"/>
      <c r="G368" s="426"/>
      <c r="H368" s="427"/>
      <c r="I368" s="426"/>
      <c r="J368" s="427"/>
      <c r="K368" s="426"/>
      <c r="L368" s="427"/>
      <c r="M368" s="426"/>
      <c r="N368" s="427"/>
      <c r="O368" s="426"/>
      <c r="P368" s="427"/>
      <c r="Q368" s="426"/>
      <c r="R368" s="427">
        <f t="shared" si="84"/>
        <v>0</v>
      </c>
      <c r="S368" s="426">
        <f t="shared" si="85"/>
        <v>0</v>
      </c>
      <c r="T368" s="259"/>
    </row>
    <row r="369" ht="16.5">
      <c r="A369" s="347" t="s">
        <v>904</v>
      </c>
      <c r="B369" s="348" t="s">
        <v>905</v>
      </c>
      <c r="C369" s="349" t="s">
        <v>906</v>
      </c>
      <c r="D369" s="449"/>
      <c r="E369" s="450">
        <v>7</v>
      </c>
      <c r="F369" s="451">
        <v>5</v>
      </c>
      <c r="G369" s="452"/>
      <c r="H369" s="451">
        <v>7</v>
      </c>
      <c r="I369" s="453">
        <f>H369</f>
        <v>7</v>
      </c>
      <c r="J369" s="451">
        <f>H369*1.04</f>
        <v>7.2800000000000002</v>
      </c>
      <c r="K369" s="453">
        <f>J369</f>
        <v>7.2800000000000002</v>
      </c>
      <c r="L369" s="451">
        <f>J369</f>
        <v>7.2800000000000002</v>
      </c>
      <c r="M369" s="453">
        <f>L369</f>
        <v>7.2800000000000002</v>
      </c>
      <c r="N369" s="451">
        <f>L369</f>
        <v>7.2800000000000002</v>
      </c>
      <c r="O369" s="453">
        <f>N369</f>
        <v>7.2800000000000002</v>
      </c>
      <c r="P369" s="451">
        <f>N369</f>
        <v>7.2800000000000002</v>
      </c>
      <c r="Q369" s="453">
        <f>P369</f>
        <v>7.2800000000000002</v>
      </c>
      <c r="R369" s="451"/>
      <c r="S369" s="452"/>
      <c r="T369" s="454"/>
    </row>
    <row r="370" ht="20.25">
      <c r="A370" s="455" t="s">
        <v>907</v>
      </c>
      <c r="B370" s="220"/>
      <c r="C370" s="220"/>
      <c r="D370" s="220"/>
      <c r="E370" s="220"/>
      <c r="F370" s="220"/>
      <c r="G370" s="220"/>
      <c r="H370" s="220"/>
      <c r="I370" s="220"/>
      <c r="J370" s="220"/>
      <c r="K370" s="220"/>
      <c r="L370" s="220"/>
      <c r="M370" s="220"/>
      <c r="N370" s="220"/>
      <c r="O370" s="220"/>
      <c r="P370" s="220"/>
      <c r="Q370" s="220"/>
      <c r="R370" s="220"/>
      <c r="S370" s="456"/>
      <c r="T370" s="220"/>
    </row>
    <row r="371" ht="10.5" customHeight="1">
      <c r="A371" s="455"/>
      <c r="B371" s="220"/>
      <c r="C371" s="220"/>
      <c r="D371" s="220"/>
      <c r="E371" s="220"/>
      <c r="F371" s="220"/>
      <c r="G371" s="220"/>
      <c r="H371" s="220"/>
      <c r="I371" s="220"/>
      <c r="J371" s="220"/>
      <c r="K371" s="220"/>
      <c r="L371" s="220"/>
      <c r="M371" s="220"/>
      <c r="N371" s="220"/>
      <c r="O371" s="220"/>
      <c r="P371" s="220"/>
      <c r="Q371" s="220"/>
      <c r="R371" s="220"/>
      <c r="S371" s="456"/>
      <c r="T371" s="220"/>
    </row>
    <row r="372" ht="51" customHeight="1">
      <c r="A372" s="457" t="s">
        <v>1</v>
      </c>
      <c r="B372" s="458" t="s">
        <v>320</v>
      </c>
      <c r="C372" s="459" t="s">
        <v>321</v>
      </c>
      <c r="D372" s="225" t="s">
        <v>322</v>
      </c>
      <c r="E372" s="225" t="s">
        <v>323</v>
      </c>
      <c r="F372" s="226" t="s">
        <v>324</v>
      </c>
      <c r="G372" s="227"/>
      <c r="H372" s="226" t="s">
        <v>325</v>
      </c>
      <c r="I372" s="460"/>
      <c r="J372" s="461" t="s">
        <v>326</v>
      </c>
      <c r="K372" s="462"/>
      <c r="L372" s="461" t="s">
        <v>327</v>
      </c>
      <c r="M372" s="462"/>
      <c r="N372" s="461" t="s">
        <v>328</v>
      </c>
      <c r="O372" s="462"/>
      <c r="P372" s="461" t="s">
        <v>329</v>
      </c>
      <c r="Q372" s="462"/>
      <c r="R372" s="227" t="s">
        <v>330</v>
      </c>
      <c r="S372" s="229"/>
      <c r="T372" s="201"/>
    </row>
    <row r="373" ht="65.25" customHeight="1">
      <c r="A373" s="463"/>
      <c r="B373" s="464"/>
      <c r="C373" s="465"/>
      <c r="D373" s="234" t="s">
        <v>331</v>
      </c>
      <c r="E373" s="234" t="s">
        <v>908</v>
      </c>
      <c r="F373" s="235" t="s">
        <v>333</v>
      </c>
      <c r="G373" s="235" t="s">
        <v>334</v>
      </c>
      <c r="H373" s="235" t="s">
        <v>333</v>
      </c>
      <c r="I373" s="466" t="s">
        <v>334</v>
      </c>
      <c r="J373" s="467" t="s">
        <v>335</v>
      </c>
      <c r="K373" s="468" t="s">
        <v>334</v>
      </c>
      <c r="L373" s="467" t="s">
        <v>335</v>
      </c>
      <c r="M373" s="468" t="s">
        <v>334</v>
      </c>
      <c r="N373" s="469" t="str">
        <f>L373</f>
        <v>План</v>
      </c>
      <c r="O373" s="470" t="s">
        <v>334</v>
      </c>
      <c r="P373" s="469" t="str">
        <f>N373</f>
        <v>План</v>
      </c>
      <c r="Q373" s="470" t="s">
        <v>334</v>
      </c>
      <c r="R373" s="471" t="s">
        <v>333</v>
      </c>
      <c r="S373" s="235" t="s">
        <v>334</v>
      </c>
      <c r="T373" s="200"/>
    </row>
    <row r="374" ht="16.5">
      <c r="A374" s="472">
        <v>1</v>
      </c>
      <c r="B374" s="473">
        <v>2</v>
      </c>
      <c r="C374" s="474">
        <v>3</v>
      </c>
      <c r="D374" s="475">
        <v>4</v>
      </c>
      <c r="E374" s="476">
        <v>4</v>
      </c>
      <c r="F374" s="477">
        <v>5</v>
      </c>
      <c r="G374" s="477">
        <v>6</v>
      </c>
      <c r="H374" s="477">
        <v>7</v>
      </c>
      <c r="I374" s="477">
        <v>8</v>
      </c>
      <c r="J374" s="244" t="s">
        <v>341</v>
      </c>
      <c r="K374" s="244" t="s">
        <v>342</v>
      </c>
      <c r="L374" s="244" t="s">
        <v>343</v>
      </c>
      <c r="M374" s="244" t="s">
        <v>344</v>
      </c>
      <c r="N374" s="244" t="s">
        <v>345</v>
      </c>
      <c r="O374" s="244" t="s">
        <v>346</v>
      </c>
      <c r="P374" s="244" t="s">
        <v>347</v>
      </c>
      <c r="Q374" s="244" t="s">
        <v>348</v>
      </c>
      <c r="R374" s="244" t="s">
        <v>349</v>
      </c>
      <c r="S374" s="245" t="s">
        <v>350</v>
      </c>
      <c r="T374" s="478"/>
    </row>
    <row r="375" ht="30.75" customHeight="1">
      <c r="A375" s="479" t="s">
        <v>909</v>
      </c>
      <c r="B375" s="480"/>
      <c r="C375" s="396" t="s">
        <v>354</v>
      </c>
      <c r="D375" s="397"/>
      <c r="E375" s="481"/>
      <c r="F375" s="482">
        <f t="shared" ref="F375:S375" si="91">F376+F433</f>
        <v>0</v>
      </c>
      <c r="G375" s="483">
        <f t="shared" si="91"/>
        <v>0</v>
      </c>
      <c r="H375" s="482">
        <f t="shared" si="91"/>
        <v>0.41700000000000159</v>
      </c>
      <c r="I375" s="484">
        <f t="shared" si="91"/>
        <v>0.41700000000000159</v>
      </c>
      <c r="J375" s="482">
        <f t="shared" si="91"/>
        <v>0.96699999999999997</v>
      </c>
      <c r="K375" s="484">
        <f t="shared" si="91"/>
        <v>0.96699999999999997</v>
      </c>
      <c r="L375" s="482">
        <f t="shared" si="91"/>
        <v>0.98499999999999999</v>
      </c>
      <c r="M375" s="484">
        <f t="shared" si="91"/>
        <v>0.98499999999999999</v>
      </c>
      <c r="N375" s="482">
        <f t="shared" si="91"/>
        <v>1.0029999999999999</v>
      </c>
      <c r="O375" s="484">
        <f t="shared" si="91"/>
        <v>2.8759999999999994</v>
      </c>
      <c r="P375" s="482">
        <f t="shared" si="91"/>
        <v>0.988398</v>
      </c>
      <c r="Q375" s="484">
        <f t="shared" si="91"/>
        <v>2.7977479999999999</v>
      </c>
      <c r="R375" s="484">
        <f t="shared" si="91"/>
        <v>4.3603980000000018</v>
      </c>
      <c r="S375" s="484">
        <f t="shared" si="91"/>
        <v>8.0427480000000013</v>
      </c>
      <c r="T375" s="485"/>
    </row>
    <row r="376" ht="15.75">
      <c r="A376" s="486" t="s">
        <v>352</v>
      </c>
      <c r="B376" s="487" t="s">
        <v>910</v>
      </c>
      <c r="C376" s="357" t="s">
        <v>354</v>
      </c>
      <c r="D376" s="488"/>
      <c r="E376" s="489"/>
      <c r="F376" s="490"/>
      <c r="G376" s="491"/>
      <c r="H376" s="492">
        <f t="shared" ref="H376:Q376" si="92">H377+H401+H429+H430</f>
        <v>0.41700000000000159</v>
      </c>
      <c r="I376" s="493">
        <f t="shared" si="92"/>
        <v>0.41700000000000159</v>
      </c>
      <c r="J376" s="492">
        <f t="shared" si="92"/>
        <v>0.96699999999999997</v>
      </c>
      <c r="K376" s="493">
        <f t="shared" si="92"/>
        <v>0.96699999999999997</v>
      </c>
      <c r="L376" s="492">
        <f t="shared" si="92"/>
        <v>0.98499999999999999</v>
      </c>
      <c r="M376" s="493">
        <f t="shared" si="92"/>
        <v>0.98499999999999999</v>
      </c>
      <c r="N376" s="492">
        <f t="shared" si="92"/>
        <v>1.0029999999999999</v>
      </c>
      <c r="O376" s="493">
        <f t="shared" si="92"/>
        <v>2.8759999999999994</v>
      </c>
      <c r="P376" s="492">
        <f t="shared" si="92"/>
        <v>0.988398</v>
      </c>
      <c r="Q376" s="493">
        <f t="shared" si="92"/>
        <v>2.7977479999999999</v>
      </c>
      <c r="R376" s="492">
        <f t="shared" ref="R376:R439" si="93">H376+J376+L376+N376+P376</f>
        <v>4.3603980000000018</v>
      </c>
      <c r="S376" s="493">
        <f t="shared" ref="S376:S439" si="94">I376+K376+M376+O376+Q376</f>
        <v>8.0427480000000013</v>
      </c>
      <c r="T376" s="485"/>
    </row>
    <row r="377" ht="15.75">
      <c r="A377" s="494" t="s">
        <v>110</v>
      </c>
      <c r="B377" s="495" t="s">
        <v>111</v>
      </c>
      <c r="C377" s="262" t="s">
        <v>354</v>
      </c>
      <c r="D377" s="496"/>
      <c r="E377" s="497"/>
      <c r="F377" s="498"/>
      <c r="G377" s="499"/>
      <c r="H377" s="500">
        <f t="shared" ref="H377:Q377" si="95">H378</f>
        <v>0.41700000000000159</v>
      </c>
      <c r="I377" s="501">
        <f t="shared" si="95"/>
        <v>0.41700000000000159</v>
      </c>
      <c r="J377" s="500">
        <f t="shared" si="95"/>
        <v>0.96699999999999997</v>
      </c>
      <c r="K377" s="501">
        <f t="shared" si="95"/>
        <v>0.96699999999999997</v>
      </c>
      <c r="L377" s="500">
        <f t="shared" si="95"/>
        <v>0.98499999999999999</v>
      </c>
      <c r="M377" s="501">
        <f t="shared" si="95"/>
        <v>0.78820000000000001</v>
      </c>
      <c r="N377" s="500">
        <f t="shared" si="95"/>
        <v>1.0029999999999999</v>
      </c>
      <c r="O377" s="501">
        <f t="shared" si="95"/>
        <v>2.0511999999999997</v>
      </c>
      <c r="P377" s="500">
        <f t="shared" si="95"/>
        <v>0.988398</v>
      </c>
      <c r="Q377" s="501">
        <f t="shared" si="95"/>
        <v>1.792748</v>
      </c>
      <c r="R377" s="500">
        <f t="shared" si="93"/>
        <v>4.3603980000000018</v>
      </c>
      <c r="S377" s="501">
        <f t="shared" si="94"/>
        <v>6.0161480000000012</v>
      </c>
      <c r="T377" s="485"/>
    </row>
    <row r="378" ht="31.5">
      <c r="A378" s="494" t="s">
        <v>112</v>
      </c>
      <c r="B378" s="502" t="s">
        <v>911</v>
      </c>
      <c r="C378" s="262" t="s">
        <v>354</v>
      </c>
      <c r="D378" s="496"/>
      <c r="E378" s="497"/>
      <c r="F378" s="498"/>
      <c r="G378" s="499"/>
      <c r="H378" s="500">
        <f t="shared" ref="H378:Q378" si="96">H384</f>
        <v>0.41700000000000159</v>
      </c>
      <c r="I378" s="501">
        <f t="shared" si="96"/>
        <v>0.41700000000000159</v>
      </c>
      <c r="J378" s="500">
        <f t="shared" si="96"/>
        <v>0.96699999999999997</v>
      </c>
      <c r="K378" s="501">
        <f t="shared" si="96"/>
        <v>0.96699999999999997</v>
      </c>
      <c r="L378" s="500">
        <f t="shared" si="96"/>
        <v>0.98499999999999999</v>
      </c>
      <c r="M378" s="501">
        <f t="shared" si="96"/>
        <v>0.78820000000000001</v>
      </c>
      <c r="N378" s="500">
        <f t="shared" si="96"/>
        <v>1.0029999999999999</v>
      </c>
      <c r="O378" s="501">
        <f t="shared" si="96"/>
        <v>2.0511999999999997</v>
      </c>
      <c r="P378" s="500">
        <f t="shared" si="96"/>
        <v>0.988398</v>
      </c>
      <c r="Q378" s="501">
        <f t="shared" si="96"/>
        <v>1.792748</v>
      </c>
      <c r="R378" s="500">
        <f t="shared" si="93"/>
        <v>4.3603980000000018</v>
      </c>
      <c r="S378" s="501">
        <f t="shared" si="94"/>
        <v>6.0161480000000012</v>
      </c>
      <c r="T378" s="485"/>
    </row>
    <row r="379" ht="15.75">
      <c r="A379" s="494" t="s">
        <v>912</v>
      </c>
      <c r="B379" s="502" t="s">
        <v>913</v>
      </c>
      <c r="C379" s="262" t="s">
        <v>354</v>
      </c>
      <c r="D379" s="496"/>
      <c r="E379" s="503"/>
      <c r="F379" s="504"/>
      <c r="G379" s="503"/>
      <c r="H379" s="505"/>
      <c r="I379" s="501"/>
      <c r="J379" s="505"/>
      <c r="K379" s="501"/>
      <c r="L379" s="505"/>
      <c r="M379" s="501"/>
      <c r="N379" s="505"/>
      <c r="O379" s="501"/>
      <c r="P379" s="505"/>
      <c r="Q379" s="501"/>
      <c r="R379" s="505">
        <f t="shared" si="93"/>
        <v>0</v>
      </c>
      <c r="S379" s="501">
        <f t="shared" si="94"/>
        <v>0</v>
      </c>
      <c r="T379" s="485"/>
    </row>
    <row r="380" ht="31.5">
      <c r="A380" s="494" t="s">
        <v>914</v>
      </c>
      <c r="B380" s="495" t="s">
        <v>356</v>
      </c>
      <c r="C380" s="262" t="s">
        <v>354</v>
      </c>
      <c r="D380" s="496"/>
      <c r="E380" s="503"/>
      <c r="F380" s="504"/>
      <c r="G380" s="503"/>
      <c r="H380" s="505"/>
      <c r="I380" s="501"/>
      <c r="J380" s="505"/>
      <c r="K380" s="501"/>
      <c r="L380" s="505"/>
      <c r="M380" s="501"/>
      <c r="N380" s="505"/>
      <c r="O380" s="501"/>
      <c r="P380" s="505"/>
      <c r="Q380" s="501"/>
      <c r="R380" s="505">
        <f t="shared" si="93"/>
        <v>0</v>
      </c>
      <c r="S380" s="501">
        <f t="shared" si="94"/>
        <v>0</v>
      </c>
      <c r="T380" s="485"/>
    </row>
    <row r="381" ht="31.5">
      <c r="A381" s="494" t="s">
        <v>915</v>
      </c>
      <c r="B381" s="495" t="s">
        <v>357</v>
      </c>
      <c r="C381" s="262" t="s">
        <v>354</v>
      </c>
      <c r="D381" s="496"/>
      <c r="E381" s="503"/>
      <c r="F381" s="504"/>
      <c r="G381" s="503"/>
      <c r="H381" s="505"/>
      <c r="I381" s="501"/>
      <c r="J381" s="505"/>
      <c r="K381" s="501"/>
      <c r="L381" s="505"/>
      <c r="M381" s="501"/>
      <c r="N381" s="505"/>
      <c r="O381" s="501"/>
      <c r="P381" s="505"/>
      <c r="Q381" s="501"/>
      <c r="R381" s="505">
        <f t="shared" si="93"/>
        <v>0</v>
      </c>
      <c r="S381" s="501">
        <f t="shared" si="94"/>
        <v>0</v>
      </c>
      <c r="T381" s="485"/>
    </row>
    <row r="382" ht="31.5">
      <c r="A382" s="494" t="s">
        <v>916</v>
      </c>
      <c r="B382" s="495" t="s">
        <v>358</v>
      </c>
      <c r="C382" s="262" t="s">
        <v>354</v>
      </c>
      <c r="D382" s="496"/>
      <c r="E382" s="503"/>
      <c r="F382" s="504"/>
      <c r="G382" s="503"/>
      <c r="H382" s="505"/>
      <c r="I382" s="501"/>
      <c r="J382" s="505"/>
      <c r="K382" s="501"/>
      <c r="L382" s="505"/>
      <c r="M382" s="501"/>
      <c r="N382" s="505"/>
      <c r="O382" s="501"/>
      <c r="P382" s="505"/>
      <c r="Q382" s="501"/>
      <c r="R382" s="505">
        <f t="shared" si="93"/>
        <v>0</v>
      </c>
      <c r="S382" s="501">
        <f t="shared" si="94"/>
        <v>0</v>
      </c>
      <c r="T382" s="485"/>
    </row>
    <row r="383" ht="15.75">
      <c r="A383" s="494" t="s">
        <v>917</v>
      </c>
      <c r="B383" s="502" t="s">
        <v>918</v>
      </c>
      <c r="C383" s="262" t="s">
        <v>354</v>
      </c>
      <c r="D383" s="496"/>
      <c r="E383" s="503"/>
      <c r="F383" s="504"/>
      <c r="G383" s="503"/>
      <c r="H383" s="505"/>
      <c r="I383" s="501"/>
      <c r="J383" s="505"/>
      <c r="K383" s="501"/>
      <c r="L383" s="505"/>
      <c r="M383" s="501"/>
      <c r="N383" s="505"/>
      <c r="O383" s="501"/>
      <c r="P383" s="505"/>
      <c r="Q383" s="501"/>
      <c r="R383" s="505">
        <f t="shared" si="93"/>
        <v>0</v>
      </c>
      <c r="S383" s="501">
        <f t="shared" si="94"/>
        <v>0</v>
      </c>
      <c r="T383" s="485"/>
    </row>
    <row r="384" ht="15.75">
      <c r="A384" s="494" t="s">
        <v>919</v>
      </c>
      <c r="B384" s="502" t="s">
        <v>920</v>
      </c>
      <c r="C384" s="262" t="s">
        <v>354</v>
      </c>
      <c r="D384" s="496"/>
      <c r="E384" s="503"/>
      <c r="F384" s="498"/>
      <c r="G384" s="499"/>
      <c r="H384" s="500">
        <f>H211</f>
        <v>0.41700000000000159</v>
      </c>
      <c r="I384" s="501">
        <f t="shared" ref="I384:Q384" si="97">I155</f>
        <v>0.41700000000000159</v>
      </c>
      <c r="J384" s="500">
        <f>J155-J401</f>
        <v>0.96699999999999997</v>
      </c>
      <c r="K384" s="500">
        <f t="shared" ref="K384:S384" si="98">K155-K401</f>
        <v>0.96699999999999997</v>
      </c>
      <c r="L384" s="500">
        <f t="shared" si="98"/>
        <v>0.98499999999999999</v>
      </c>
      <c r="M384" s="500">
        <f t="shared" si="98"/>
        <v>0.78820000000000001</v>
      </c>
      <c r="N384" s="500">
        <f t="shared" si="98"/>
        <v>1.0029999999999999</v>
      </c>
      <c r="O384" s="500">
        <f t="shared" si="98"/>
        <v>2.0511999999999997</v>
      </c>
      <c r="P384" s="500">
        <f t="shared" si="98"/>
        <v>0.988398</v>
      </c>
      <c r="Q384" s="500">
        <f t="shared" si="98"/>
        <v>1.792748</v>
      </c>
      <c r="R384" s="500">
        <f t="shared" si="98"/>
        <v>4.3603980000000018</v>
      </c>
      <c r="S384" s="500">
        <f t="shared" si="98"/>
        <v>6.0161480000000012</v>
      </c>
      <c r="T384" s="485"/>
    </row>
    <row r="385" ht="15.75">
      <c r="A385" s="494" t="s">
        <v>921</v>
      </c>
      <c r="B385" s="502" t="s">
        <v>922</v>
      </c>
      <c r="C385" s="262" t="s">
        <v>354</v>
      </c>
      <c r="D385" s="496"/>
      <c r="E385" s="503"/>
      <c r="F385" s="504"/>
      <c r="G385" s="503"/>
      <c r="H385" s="505"/>
      <c r="I385" s="501"/>
      <c r="J385" s="505"/>
      <c r="K385" s="501"/>
      <c r="L385" s="505"/>
      <c r="M385" s="501"/>
      <c r="N385" s="505"/>
      <c r="O385" s="501"/>
      <c r="P385" s="505"/>
      <c r="Q385" s="501"/>
      <c r="R385" s="505">
        <f t="shared" si="93"/>
        <v>0</v>
      </c>
      <c r="S385" s="501">
        <f t="shared" si="94"/>
        <v>0</v>
      </c>
      <c r="T385" s="485"/>
    </row>
    <row r="386" ht="15.75">
      <c r="A386" s="494" t="s">
        <v>923</v>
      </c>
      <c r="B386" s="502" t="s">
        <v>117</v>
      </c>
      <c r="C386" s="262" t="s">
        <v>354</v>
      </c>
      <c r="D386" s="496"/>
      <c r="E386" s="503"/>
      <c r="F386" s="504"/>
      <c r="G386" s="503"/>
      <c r="H386" s="505"/>
      <c r="I386" s="501"/>
      <c r="J386" s="505"/>
      <c r="K386" s="501"/>
      <c r="L386" s="505"/>
      <c r="M386" s="501"/>
      <c r="N386" s="505"/>
      <c r="O386" s="501"/>
      <c r="P386" s="505"/>
      <c r="Q386" s="501"/>
      <c r="R386" s="505">
        <f t="shared" si="93"/>
        <v>0</v>
      </c>
      <c r="S386" s="501">
        <f t="shared" si="94"/>
        <v>0</v>
      </c>
      <c r="T386" s="485"/>
    </row>
    <row r="387" ht="31.5">
      <c r="A387" s="494" t="s">
        <v>924</v>
      </c>
      <c r="B387" s="495" t="s">
        <v>925</v>
      </c>
      <c r="C387" s="262" t="s">
        <v>354</v>
      </c>
      <c r="D387" s="496"/>
      <c r="E387" s="503"/>
      <c r="F387" s="504"/>
      <c r="G387" s="503"/>
      <c r="H387" s="505"/>
      <c r="I387" s="501"/>
      <c r="J387" s="505"/>
      <c r="K387" s="501"/>
      <c r="L387" s="505"/>
      <c r="M387" s="501"/>
      <c r="N387" s="505"/>
      <c r="O387" s="501"/>
      <c r="P387" s="505"/>
      <c r="Q387" s="501"/>
      <c r="R387" s="505">
        <f t="shared" si="93"/>
        <v>0</v>
      </c>
      <c r="S387" s="501">
        <f t="shared" si="94"/>
        <v>0</v>
      </c>
      <c r="T387" s="485"/>
    </row>
    <row r="388" ht="15.75">
      <c r="A388" s="494" t="s">
        <v>926</v>
      </c>
      <c r="B388" s="495" t="s">
        <v>927</v>
      </c>
      <c r="C388" s="262" t="s">
        <v>354</v>
      </c>
      <c r="D388" s="496"/>
      <c r="E388" s="503"/>
      <c r="F388" s="504"/>
      <c r="G388" s="503"/>
      <c r="H388" s="505"/>
      <c r="I388" s="501"/>
      <c r="J388" s="505"/>
      <c r="K388" s="501"/>
      <c r="L388" s="505"/>
      <c r="M388" s="501"/>
      <c r="N388" s="505"/>
      <c r="O388" s="501"/>
      <c r="P388" s="505"/>
      <c r="Q388" s="501"/>
      <c r="R388" s="505">
        <f t="shared" si="93"/>
        <v>0</v>
      </c>
      <c r="S388" s="501">
        <f t="shared" si="94"/>
        <v>0</v>
      </c>
      <c r="T388" s="485"/>
    </row>
    <row r="389" ht="15.75">
      <c r="A389" s="494" t="s">
        <v>928</v>
      </c>
      <c r="B389" s="495" t="s">
        <v>929</v>
      </c>
      <c r="C389" s="262" t="s">
        <v>354</v>
      </c>
      <c r="D389" s="496"/>
      <c r="E389" s="503"/>
      <c r="F389" s="504"/>
      <c r="G389" s="503"/>
      <c r="H389" s="505"/>
      <c r="I389" s="501"/>
      <c r="J389" s="505"/>
      <c r="K389" s="501"/>
      <c r="L389" s="505"/>
      <c r="M389" s="501"/>
      <c r="N389" s="505"/>
      <c r="O389" s="501"/>
      <c r="P389" s="505"/>
      <c r="Q389" s="501"/>
      <c r="R389" s="505">
        <f t="shared" si="93"/>
        <v>0</v>
      </c>
      <c r="S389" s="501">
        <f t="shared" si="94"/>
        <v>0</v>
      </c>
      <c r="T389" s="485"/>
    </row>
    <row r="390" ht="15.75">
      <c r="A390" s="494" t="s">
        <v>930</v>
      </c>
      <c r="B390" s="495" t="s">
        <v>927</v>
      </c>
      <c r="C390" s="262" t="s">
        <v>354</v>
      </c>
      <c r="D390" s="496"/>
      <c r="E390" s="503"/>
      <c r="F390" s="504"/>
      <c r="G390" s="503"/>
      <c r="H390" s="505"/>
      <c r="I390" s="501"/>
      <c r="J390" s="505"/>
      <c r="K390" s="501"/>
      <c r="L390" s="505"/>
      <c r="M390" s="501"/>
      <c r="N390" s="505"/>
      <c r="O390" s="501"/>
      <c r="P390" s="505"/>
      <c r="Q390" s="501"/>
      <c r="R390" s="505">
        <f t="shared" si="93"/>
        <v>0</v>
      </c>
      <c r="S390" s="501">
        <f t="shared" si="94"/>
        <v>0</v>
      </c>
      <c r="T390" s="485"/>
    </row>
    <row r="391" ht="15.75">
      <c r="A391" s="494" t="s">
        <v>931</v>
      </c>
      <c r="B391" s="502" t="s">
        <v>932</v>
      </c>
      <c r="C391" s="262" t="s">
        <v>354</v>
      </c>
      <c r="D391" s="496"/>
      <c r="E391" s="503"/>
      <c r="F391" s="504"/>
      <c r="G391" s="503"/>
      <c r="H391" s="505"/>
      <c r="I391" s="501"/>
      <c r="J391" s="505"/>
      <c r="K391" s="501"/>
      <c r="L391" s="505"/>
      <c r="M391" s="501"/>
      <c r="N391" s="505"/>
      <c r="O391" s="501"/>
      <c r="P391" s="505"/>
      <c r="Q391" s="501"/>
      <c r="R391" s="505">
        <f t="shared" si="93"/>
        <v>0</v>
      </c>
      <c r="S391" s="501">
        <f t="shared" si="94"/>
        <v>0</v>
      </c>
      <c r="T391" s="485"/>
    </row>
    <row r="392" ht="15.75">
      <c r="A392" s="494" t="s">
        <v>933</v>
      </c>
      <c r="B392" s="502" t="s">
        <v>739</v>
      </c>
      <c r="C392" s="262" t="s">
        <v>354</v>
      </c>
      <c r="D392" s="496"/>
      <c r="E392" s="503"/>
      <c r="F392" s="504"/>
      <c r="G392" s="503"/>
      <c r="H392" s="505"/>
      <c r="I392" s="501"/>
      <c r="J392" s="505"/>
      <c r="K392" s="501"/>
      <c r="L392" s="505"/>
      <c r="M392" s="501"/>
      <c r="N392" s="505"/>
      <c r="O392" s="501"/>
      <c r="P392" s="505"/>
      <c r="Q392" s="501"/>
      <c r="R392" s="505">
        <f t="shared" si="93"/>
        <v>0</v>
      </c>
      <c r="S392" s="501">
        <f t="shared" si="94"/>
        <v>0</v>
      </c>
      <c r="T392" s="485"/>
    </row>
    <row r="393" ht="31.5">
      <c r="A393" s="494" t="s">
        <v>934</v>
      </c>
      <c r="B393" s="502" t="s">
        <v>935</v>
      </c>
      <c r="C393" s="262" t="s">
        <v>354</v>
      </c>
      <c r="D393" s="496"/>
      <c r="E393" s="503"/>
      <c r="F393" s="504"/>
      <c r="G393" s="503"/>
      <c r="H393" s="505"/>
      <c r="I393" s="501"/>
      <c r="J393" s="505"/>
      <c r="K393" s="501"/>
      <c r="L393" s="505"/>
      <c r="M393" s="501"/>
      <c r="N393" s="505"/>
      <c r="O393" s="501"/>
      <c r="P393" s="505"/>
      <c r="Q393" s="501"/>
      <c r="R393" s="505">
        <f t="shared" si="93"/>
        <v>0</v>
      </c>
      <c r="S393" s="501">
        <f t="shared" si="94"/>
        <v>0</v>
      </c>
      <c r="T393" s="485"/>
    </row>
    <row r="394" ht="18" customHeight="1">
      <c r="A394" s="494" t="s">
        <v>936</v>
      </c>
      <c r="B394" s="495" t="s">
        <v>370</v>
      </c>
      <c r="C394" s="262" t="s">
        <v>354</v>
      </c>
      <c r="D394" s="496"/>
      <c r="E394" s="503"/>
      <c r="F394" s="504"/>
      <c r="G394" s="503"/>
      <c r="H394" s="505"/>
      <c r="I394" s="501"/>
      <c r="J394" s="505"/>
      <c r="K394" s="501"/>
      <c r="L394" s="505"/>
      <c r="M394" s="501"/>
      <c r="N394" s="505"/>
      <c r="O394" s="501"/>
      <c r="P394" s="505"/>
      <c r="Q394" s="501"/>
      <c r="R394" s="505">
        <f t="shared" si="93"/>
        <v>0</v>
      </c>
      <c r="S394" s="501">
        <f t="shared" si="94"/>
        <v>0</v>
      </c>
      <c r="T394" s="485"/>
    </row>
    <row r="395" ht="18" customHeight="1">
      <c r="A395" s="494" t="s">
        <v>937</v>
      </c>
      <c r="B395" s="506" t="s">
        <v>372</v>
      </c>
      <c r="C395" s="262" t="s">
        <v>354</v>
      </c>
      <c r="D395" s="496"/>
      <c r="E395" s="503"/>
      <c r="F395" s="504"/>
      <c r="G395" s="503"/>
      <c r="H395" s="505"/>
      <c r="I395" s="501"/>
      <c r="J395" s="505"/>
      <c r="K395" s="501"/>
      <c r="L395" s="505"/>
      <c r="M395" s="501"/>
      <c r="N395" s="505"/>
      <c r="O395" s="501"/>
      <c r="P395" s="505"/>
      <c r="Q395" s="501"/>
      <c r="R395" s="505">
        <f t="shared" si="93"/>
        <v>0</v>
      </c>
      <c r="S395" s="501">
        <f t="shared" si="94"/>
        <v>0</v>
      </c>
      <c r="T395" s="485"/>
    </row>
    <row r="396" ht="31.5">
      <c r="A396" s="494" t="s">
        <v>114</v>
      </c>
      <c r="B396" s="502" t="s">
        <v>938</v>
      </c>
      <c r="C396" s="262" t="s">
        <v>354</v>
      </c>
      <c r="D396" s="496"/>
      <c r="E396" s="503"/>
      <c r="F396" s="504"/>
      <c r="G396" s="503"/>
      <c r="H396" s="505"/>
      <c r="I396" s="501"/>
      <c r="J396" s="505"/>
      <c r="K396" s="501"/>
      <c r="L396" s="505"/>
      <c r="M396" s="501"/>
      <c r="N396" s="505"/>
      <c r="O396" s="501"/>
      <c r="P396" s="505"/>
      <c r="Q396" s="501"/>
      <c r="R396" s="505">
        <f t="shared" si="93"/>
        <v>0</v>
      </c>
      <c r="S396" s="501">
        <f t="shared" si="94"/>
        <v>0</v>
      </c>
      <c r="T396" s="485"/>
    </row>
    <row r="397" ht="31.5">
      <c r="A397" s="494" t="s">
        <v>939</v>
      </c>
      <c r="B397" s="502" t="s">
        <v>356</v>
      </c>
      <c r="C397" s="262" t="s">
        <v>354</v>
      </c>
      <c r="D397" s="496"/>
      <c r="E397" s="503"/>
      <c r="F397" s="504"/>
      <c r="G397" s="503"/>
      <c r="H397" s="505"/>
      <c r="I397" s="501"/>
      <c r="J397" s="505"/>
      <c r="K397" s="501"/>
      <c r="L397" s="505"/>
      <c r="M397" s="501"/>
      <c r="N397" s="505"/>
      <c r="O397" s="501"/>
      <c r="P397" s="505"/>
      <c r="Q397" s="501"/>
      <c r="R397" s="505">
        <f t="shared" si="93"/>
        <v>0</v>
      </c>
      <c r="S397" s="501">
        <f t="shared" si="94"/>
        <v>0</v>
      </c>
      <c r="T397" s="485"/>
    </row>
    <row r="398" ht="31.5">
      <c r="A398" s="494" t="s">
        <v>940</v>
      </c>
      <c r="B398" s="502" t="s">
        <v>357</v>
      </c>
      <c r="C398" s="262" t="s">
        <v>354</v>
      </c>
      <c r="D398" s="496"/>
      <c r="E398" s="503"/>
      <c r="F398" s="504"/>
      <c r="G398" s="503"/>
      <c r="H398" s="505"/>
      <c r="I398" s="501"/>
      <c r="J398" s="505"/>
      <c r="K398" s="501"/>
      <c r="L398" s="505"/>
      <c r="M398" s="501"/>
      <c r="N398" s="505"/>
      <c r="O398" s="501"/>
      <c r="P398" s="505"/>
      <c r="Q398" s="501"/>
      <c r="R398" s="505">
        <f t="shared" si="93"/>
        <v>0</v>
      </c>
      <c r="S398" s="501">
        <f t="shared" si="94"/>
        <v>0</v>
      </c>
      <c r="T398" s="485"/>
    </row>
    <row r="399" ht="31.5">
      <c r="A399" s="494" t="s">
        <v>941</v>
      </c>
      <c r="B399" s="502" t="s">
        <v>358</v>
      </c>
      <c r="C399" s="262" t="s">
        <v>354</v>
      </c>
      <c r="D399" s="496"/>
      <c r="E399" s="503"/>
      <c r="F399" s="504"/>
      <c r="G399" s="503"/>
      <c r="H399" s="505"/>
      <c r="I399" s="501"/>
      <c r="J399" s="505"/>
      <c r="K399" s="501"/>
      <c r="L399" s="505"/>
      <c r="M399" s="501"/>
      <c r="N399" s="505"/>
      <c r="O399" s="501"/>
      <c r="P399" s="505"/>
      <c r="Q399" s="501"/>
      <c r="R399" s="505">
        <f t="shared" si="93"/>
        <v>0</v>
      </c>
      <c r="S399" s="501">
        <f t="shared" si="94"/>
        <v>0</v>
      </c>
      <c r="T399" s="485"/>
    </row>
    <row r="400" ht="15.75">
      <c r="A400" s="494" t="s">
        <v>116</v>
      </c>
      <c r="B400" s="502" t="s">
        <v>942</v>
      </c>
      <c r="C400" s="262" t="s">
        <v>354</v>
      </c>
      <c r="D400" s="496"/>
      <c r="E400" s="503"/>
      <c r="F400" s="504"/>
      <c r="G400" s="503"/>
      <c r="H400" s="505"/>
      <c r="I400" s="501"/>
      <c r="J400" s="505"/>
      <c r="K400" s="501"/>
      <c r="L400" s="505"/>
      <c r="M400" s="501"/>
      <c r="N400" s="505"/>
      <c r="O400" s="501"/>
      <c r="P400" s="505"/>
      <c r="Q400" s="501"/>
      <c r="R400" s="505">
        <f t="shared" si="93"/>
        <v>0</v>
      </c>
      <c r="S400" s="501">
        <f t="shared" si="94"/>
        <v>0</v>
      </c>
      <c r="T400" s="485"/>
    </row>
    <row r="401" ht="15.75">
      <c r="A401" s="494" t="s">
        <v>125</v>
      </c>
      <c r="B401" s="495" t="s">
        <v>943</v>
      </c>
      <c r="C401" s="262" t="s">
        <v>354</v>
      </c>
      <c r="D401" s="507"/>
      <c r="E401" s="499"/>
      <c r="F401" s="498"/>
      <c r="G401" s="499"/>
      <c r="H401" s="500">
        <f>H402+H415+H416</f>
        <v>0</v>
      </c>
      <c r="I401" s="501"/>
      <c r="J401" s="500">
        <f>J402+J415+J416</f>
        <v>0</v>
      </c>
      <c r="K401" s="501"/>
      <c r="L401" s="500">
        <f>L402+L415+L416</f>
        <v>0</v>
      </c>
      <c r="M401" s="501">
        <v>0.1968</v>
      </c>
      <c r="N401" s="500">
        <f>N402+N415+N416</f>
        <v>0</v>
      </c>
      <c r="O401" s="501">
        <v>0.82479999999999998</v>
      </c>
      <c r="P401" s="500">
        <f>P402+P415+P416</f>
        <v>0</v>
      </c>
      <c r="Q401" s="501">
        <v>1.0049999999999999</v>
      </c>
      <c r="R401" s="500">
        <f t="shared" si="93"/>
        <v>0</v>
      </c>
      <c r="S401" s="501">
        <f t="shared" si="94"/>
        <v>2.0266000000000002</v>
      </c>
      <c r="T401" s="485"/>
    </row>
    <row r="402" ht="15.75">
      <c r="A402" s="494" t="s">
        <v>127</v>
      </c>
      <c r="B402" s="502" t="s">
        <v>944</v>
      </c>
      <c r="C402" s="262" t="s">
        <v>354</v>
      </c>
      <c r="D402" s="319"/>
      <c r="E402" s="508"/>
      <c r="F402" s="498"/>
      <c r="G402" s="499"/>
      <c r="H402" s="500"/>
      <c r="I402" s="501"/>
      <c r="J402" s="500"/>
      <c r="K402" s="501"/>
      <c r="L402" s="500"/>
      <c r="M402" s="501"/>
      <c r="N402" s="500"/>
      <c r="O402" s="501"/>
      <c r="P402" s="500"/>
      <c r="Q402" s="501"/>
      <c r="R402" s="500">
        <f t="shared" si="93"/>
        <v>0</v>
      </c>
      <c r="S402" s="501">
        <f t="shared" si="94"/>
        <v>0</v>
      </c>
      <c r="T402" s="485"/>
    </row>
    <row r="403" ht="15.75">
      <c r="A403" s="494" t="s">
        <v>945</v>
      </c>
      <c r="B403" s="502" t="s">
        <v>946</v>
      </c>
      <c r="C403" s="262" t="s">
        <v>354</v>
      </c>
      <c r="D403" s="496"/>
      <c r="E403" s="503"/>
      <c r="F403" s="504"/>
      <c r="G403" s="503"/>
      <c r="H403" s="505"/>
      <c r="I403" s="432"/>
      <c r="J403" s="505"/>
      <c r="K403" s="432"/>
      <c r="L403" s="505"/>
      <c r="M403" s="432"/>
      <c r="N403" s="505"/>
      <c r="O403" s="432"/>
      <c r="P403" s="505"/>
      <c r="Q403" s="432"/>
      <c r="R403" s="505">
        <f t="shared" si="93"/>
        <v>0</v>
      </c>
      <c r="S403" s="432">
        <f t="shared" si="94"/>
        <v>0</v>
      </c>
      <c r="T403" s="485"/>
    </row>
    <row r="404" ht="31.5">
      <c r="A404" s="494" t="s">
        <v>947</v>
      </c>
      <c r="B404" s="502" t="s">
        <v>356</v>
      </c>
      <c r="C404" s="262" t="s">
        <v>354</v>
      </c>
      <c r="D404" s="496"/>
      <c r="E404" s="503"/>
      <c r="F404" s="504"/>
      <c r="G404" s="503"/>
      <c r="H404" s="505"/>
      <c r="I404" s="432"/>
      <c r="J404" s="505"/>
      <c r="K404" s="432"/>
      <c r="L404" s="505"/>
      <c r="M404" s="432"/>
      <c r="N404" s="505"/>
      <c r="O404" s="432"/>
      <c r="P404" s="505"/>
      <c r="Q404" s="432"/>
      <c r="R404" s="505">
        <f t="shared" si="93"/>
        <v>0</v>
      </c>
      <c r="S404" s="432">
        <f t="shared" si="94"/>
        <v>0</v>
      </c>
      <c r="T404" s="485"/>
    </row>
    <row r="405" ht="31.5">
      <c r="A405" s="494" t="s">
        <v>948</v>
      </c>
      <c r="B405" s="502" t="s">
        <v>357</v>
      </c>
      <c r="C405" s="262" t="s">
        <v>354</v>
      </c>
      <c r="D405" s="496"/>
      <c r="E405" s="503"/>
      <c r="F405" s="504"/>
      <c r="G405" s="503"/>
      <c r="H405" s="505"/>
      <c r="I405" s="432"/>
      <c r="J405" s="505"/>
      <c r="K405" s="432"/>
      <c r="L405" s="505"/>
      <c r="M405" s="432"/>
      <c r="N405" s="505"/>
      <c r="O405" s="432"/>
      <c r="P405" s="505"/>
      <c r="Q405" s="432"/>
      <c r="R405" s="505">
        <f t="shared" si="93"/>
        <v>0</v>
      </c>
      <c r="S405" s="432">
        <f t="shared" si="94"/>
        <v>0</v>
      </c>
      <c r="T405" s="485"/>
    </row>
    <row r="406" ht="31.5">
      <c r="A406" s="494" t="s">
        <v>949</v>
      </c>
      <c r="B406" s="502" t="s">
        <v>358</v>
      </c>
      <c r="C406" s="262" t="s">
        <v>354</v>
      </c>
      <c r="D406" s="496"/>
      <c r="E406" s="503"/>
      <c r="F406" s="504"/>
      <c r="G406" s="503"/>
      <c r="H406" s="505"/>
      <c r="I406" s="432"/>
      <c r="J406" s="505"/>
      <c r="K406" s="432"/>
      <c r="L406" s="505"/>
      <c r="M406" s="432"/>
      <c r="N406" s="505"/>
      <c r="O406" s="432"/>
      <c r="P406" s="505"/>
      <c r="Q406" s="432"/>
      <c r="R406" s="505">
        <f t="shared" si="93"/>
        <v>0</v>
      </c>
      <c r="S406" s="432">
        <f t="shared" si="94"/>
        <v>0</v>
      </c>
      <c r="T406" s="485"/>
    </row>
    <row r="407" ht="15.75">
      <c r="A407" s="494" t="s">
        <v>950</v>
      </c>
      <c r="B407" s="502" t="s">
        <v>725</v>
      </c>
      <c r="C407" s="262" t="s">
        <v>354</v>
      </c>
      <c r="D407" s="496"/>
      <c r="E407" s="503"/>
      <c r="F407" s="504"/>
      <c r="G407" s="503"/>
      <c r="H407" s="505"/>
      <c r="I407" s="432"/>
      <c r="J407" s="505"/>
      <c r="K407" s="432"/>
      <c r="L407" s="505"/>
      <c r="M407" s="432"/>
      <c r="N407" s="505"/>
      <c r="O407" s="432"/>
      <c r="P407" s="505"/>
      <c r="Q407" s="432"/>
      <c r="R407" s="505">
        <f t="shared" si="93"/>
        <v>0</v>
      </c>
      <c r="S407" s="432">
        <f t="shared" si="94"/>
        <v>0</v>
      </c>
      <c r="T407" s="485"/>
    </row>
    <row r="408" ht="15.75">
      <c r="A408" s="494" t="s">
        <v>951</v>
      </c>
      <c r="B408" s="502" t="s">
        <v>728</v>
      </c>
      <c r="C408" s="262" t="s">
        <v>354</v>
      </c>
      <c r="D408" s="509"/>
      <c r="E408" s="508"/>
      <c r="F408" s="498"/>
      <c r="G408" s="499"/>
      <c r="H408" s="500"/>
      <c r="I408" s="510"/>
      <c r="J408" s="500"/>
      <c r="K408" s="510"/>
      <c r="L408" s="500"/>
      <c r="M408" s="510"/>
      <c r="N408" s="500"/>
      <c r="O408" s="510"/>
      <c r="P408" s="500"/>
      <c r="Q408" s="510"/>
      <c r="R408" s="500">
        <f t="shared" si="93"/>
        <v>0</v>
      </c>
      <c r="S408" s="510">
        <f t="shared" si="94"/>
        <v>0</v>
      </c>
      <c r="T408" s="485"/>
    </row>
    <row r="409" ht="15.75">
      <c r="A409" s="494" t="s">
        <v>952</v>
      </c>
      <c r="B409" s="502" t="s">
        <v>731</v>
      </c>
      <c r="C409" s="262" t="s">
        <v>354</v>
      </c>
      <c r="D409" s="496"/>
      <c r="E409" s="503"/>
      <c r="F409" s="504"/>
      <c r="G409" s="503"/>
      <c r="H409" s="505"/>
      <c r="I409" s="432"/>
      <c r="J409" s="505"/>
      <c r="K409" s="432"/>
      <c r="L409" s="505"/>
      <c r="M409" s="432"/>
      <c r="N409" s="505"/>
      <c r="O409" s="432"/>
      <c r="P409" s="505"/>
      <c r="Q409" s="432"/>
      <c r="R409" s="505">
        <f t="shared" si="93"/>
        <v>0</v>
      </c>
      <c r="S409" s="432">
        <f t="shared" si="94"/>
        <v>0</v>
      </c>
      <c r="T409" s="485"/>
    </row>
    <row r="410" ht="15.75">
      <c r="A410" s="494" t="s">
        <v>953</v>
      </c>
      <c r="B410" s="502" t="s">
        <v>737</v>
      </c>
      <c r="C410" s="262" t="s">
        <v>354</v>
      </c>
      <c r="D410" s="496"/>
      <c r="E410" s="503"/>
      <c r="F410" s="504"/>
      <c r="G410" s="503"/>
      <c r="H410" s="505"/>
      <c r="I410" s="432"/>
      <c r="J410" s="505"/>
      <c r="K410" s="432"/>
      <c r="L410" s="505"/>
      <c r="M410" s="432"/>
      <c r="N410" s="505"/>
      <c r="O410" s="432"/>
      <c r="P410" s="505"/>
      <c r="Q410" s="432"/>
      <c r="R410" s="505">
        <f t="shared" si="93"/>
        <v>0</v>
      </c>
      <c r="S410" s="432">
        <f t="shared" si="94"/>
        <v>0</v>
      </c>
      <c r="T410" s="485"/>
    </row>
    <row r="411" ht="15.75">
      <c r="A411" s="494" t="s">
        <v>954</v>
      </c>
      <c r="B411" s="502" t="s">
        <v>739</v>
      </c>
      <c r="C411" s="262" t="s">
        <v>354</v>
      </c>
      <c r="D411" s="496"/>
      <c r="E411" s="503"/>
      <c r="F411" s="504"/>
      <c r="G411" s="503"/>
      <c r="H411" s="505"/>
      <c r="I411" s="432"/>
      <c r="J411" s="505"/>
      <c r="K411" s="432"/>
      <c r="L411" s="505"/>
      <c r="M411" s="432"/>
      <c r="N411" s="505"/>
      <c r="O411" s="432"/>
      <c r="P411" s="505"/>
      <c r="Q411" s="432"/>
      <c r="R411" s="505">
        <f t="shared" si="93"/>
        <v>0</v>
      </c>
      <c r="S411" s="432">
        <f t="shared" si="94"/>
        <v>0</v>
      </c>
      <c r="T411" s="485"/>
    </row>
    <row r="412" ht="31.5">
      <c r="A412" s="494" t="s">
        <v>955</v>
      </c>
      <c r="B412" s="502" t="s">
        <v>742</v>
      </c>
      <c r="C412" s="262" t="s">
        <v>354</v>
      </c>
      <c r="D412" s="496"/>
      <c r="E412" s="503"/>
      <c r="F412" s="504"/>
      <c r="G412" s="503"/>
      <c r="H412" s="505"/>
      <c r="I412" s="432"/>
      <c r="J412" s="505"/>
      <c r="K412" s="432"/>
      <c r="L412" s="505"/>
      <c r="M412" s="432"/>
      <c r="N412" s="505"/>
      <c r="O412" s="432"/>
      <c r="P412" s="505"/>
      <c r="Q412" s="432"/>
      <c r="R412" s="505">
        <f t="shared" si="93"/>
        <v>0</v>
      </c>
      <c r="S412" s="432">
        <f t="shared" si="94"/>
        <v>0</v>
      </c>
      <c r="T412" s="485"/>
    </row>
    <row r="413" ht="15.75">
      <c r="A413" s="494" t="s">
        <v>956</v>
      </c>
      <c r="B413" s="495" t="s">
        <v>370</v>
      </c>
      <c r="C413" s="262" t="s">
        <v>354</v>
      </c>
      <c r="D413" s="496"/>
      <c r="E413" s="503"/>
      <c r="F413" s="504"/>
      <c r="G413" s="503"/>
      <c r="H413" s="505"/>
      <c r="I413" s="432"/>
      <c r="J413" s="505"/>
      <c r="K413" s="432"/>
      <c r="L413" s="505"/>
      <c r="M413" s="432"/>
      <c r="N413" s="505"/>
      <c r="O413" s="432"/>
      <c r="P413" s="505"/>
      <c r="Q413" s="432"/>
      <c r="R413" s="505">
        <f t="shared" si="93"/>
        <v>0</v>
      </c>
      <c r="S413" s="432">
        <f t="shared" si="94"/>
        <v>0</v>
      </c>
      <c r="T413" s="485"/>
    </row>
    <row r="414" ht="15.75">
      <c r="A414" s="494" t="s">
        <v>957</v>
      </c>
      <c r="B414" s="506" t="s">
        <v>372</v>
      </c>
      <c r="C414" s="262" t="s">
        <v>354</v>
      </c>
      <c r="D414" s="496"/>
      <c r="E414" s="503"/>
      <c r="F414" s="504"/>
      <c r="G414" s="503"/>
      <c r="H414" s="505"/>
      <c r="I414" s="432"/>
      <c r="J414" s="505"/>
      <c r="K414" s="432"/>
      <c r="L414" s="505"/>
      <c r="M414" s="432"/>
      <c r="N414" s="505"/>
      <c r="O414" s="432"/>
      <c r="P414" s="505"/>
      <c r="Q414" s="432"/>
      <c r="R414" s="505">
        <f t="shared" si="93"/>
        <v>0</v>
      </c>
      <c r="S414" s="432">
        <f t="shared" si="94"/>
        <v>0</v>
      </c>
      <c r="T414" s="485"/>
    </row>
    <row r="415" ht="15.75">
      <c r="A415" s="494" t="s">
        <v>129</v>
      </c>
      <c r="B415" s="502" t="s">
        <v>958</v>
      </c>
      <c r="C415" s="262" t="s">
        <v>354</v>
      </c>
      <c r="D415" s="496"/>
      <c r="E415" s="503"/>
      <c r="F415" s="504"/>
      <c r="G415" s="503"/>
      <c r="H415" s="505"/>
      <c r="I415" s="432"/>
      <c r="J415" s="505"/>
      <c r="K415" s="432"/>
      <c r="L415" s="505"/>
      <c r="M415" s="432"/>
      <c r="N415" s="505"/>
      <c r="O415" s="432"/>
      <c r="P415" s="505"/>
      <c r="Q415" s="432"/>
      <c r="R415" s="505">
        <f t="shared" si="93"/>
        <v>0</v>
      </c>
      <c r="S415" s="432">
        <f t="shared" si="94"/>
        <v>0</v>
      </c>
      <c r="T415" s="485"/>
    </row>
    <row r="416" ht="15.75">
      <c r="A416" s="494" t="s">
        <v>131</v>
      </c>
      <c r="B416" s="502" t="s">
        <v>959</v>
      </c>
      <c r="C416" s="262" t="s">
        <v>354</v>
      </c>
      <c r="D416" s="496"/>
      <c r="E416" s="503"/>
      <c r="F416" s="504"/>
      <c r="G416" s="503"/>
      <c r="H416" s="505">
        <f>H417+H421+H422+H423+H424+H425+H426</f>
        <v>0</v>
      </c>
      <c r="I416" s="432"/>
      <c r="J416" s="505">
        <f>J417+J421+J422+J423+J424+J425+J426</f>
        <v>0</v>
      </c>
      <c r="K416" s="432"/>
      <c r="L416" s="505">
        <f>L417+L421+L422+L423+L424+L425+L426</f>
        <v>0</v>
      </c>
      <c r="M416" s="432"/>
      <c r="N416" s="505">
        <f>N417+N421+N422+N423+N424+N425+N426</f>
        <v>0</v>
      </c>
      <c r="O416" s="432"/>
      <c r="P416" s="505">
        <f>P417+P421+P422+P423+P424+P425+P426</f>
        <v>0</v>
      </c>
      <c r="Q416" s="432"/>
      <c r="R416" s="505">
        <f t="shared" si="93"/>
        <v>0</v>
      </c>
      <c r="S416" s="432">
        <f t="shared" si="94"/>
        <v>0</v>
      </c>
      <c r="T416" s="485"/>
    </row>
    <row r="417" ht="15.75">
      <c r="A417" s="494" t="s">
        <v>960</v>
      </c>
      <c r="B417" s="502" t="s">
        <v>946</v>
      </c>
      <c r="C417" s="262" t="s">
        <v>354</v>
      </c>
      <c r="D417" s="496"/>
      <c r="E417" s="503"/>
      <c r="F417" s="504"/>
      <c r="G417" s="503"/>
      <c r="H417" s="505"/>
      <c r="I417" s="432"/>
      <c r="J417" s="505"/>
      <c r="K417" s="432"/>
      <c r="L417" s="505"/>
      <c r="M417" s="432"/>
      <c r="N417" s="505"/>
      <c r="O417" s="432"/>
      <c r="P417" s="505"/>
      <c r="Q417" s="432"/>
      <c r="R417" s="505">
        <f t="shared" si="93"/>
        <v>0</v>
      </c>
      <c r="S417" s="432">
        <f t="shared" si="94"/>
        <v>0</v>
      </c>
      <c r="T417" s="485"/>
    </row>
    <row r="418" ht="31.5">
      <c r="A418" s="494" t="s">
        <v>961</v>
      </c>
      <c r="B418" s="502" t="s">
        <v>356</v>
      </c>
      <c r="C418" s="262" t="s">
        <v>354</v>
      </c>
      <c r="D418" s="496"/>
      <c r="E418" s="503"/>
      <c r="F418" s="504"/>
      <c r="G418" s="503"/>
      <c r="H418" s="505"/>
      <c r="I418" s="432"/>
      <c r="J418" s="505"/>
      <c r="K418" s="432"/>
      <c r="L418" s="505"/>
      <c r="M418" s="432"/>
      <c r="N418" s="505"/>
      <c r="O418" s="432"/>
      <c r="P418" s="505"/>
      <c r="Q418" s="432"/>
      <c r="R418" s="505">
        <f t="shared" si="93"/>
        <v>0</v>
      </c>
      <c r="S418" s="432">
        <f t="shared" si="94"/>
        <v>0</v>
      </c>
      <c r="T418" s="485"/>
    </row>
    <row r="419" ht="31.5">
      <c r="A419" s="494" t="s">
        <v>962</v>
      </c>
      <c r="B419" s="502" t="s">
        <v>357</v>
      </c>
      <c r="C419" s="262" t="s">
        <v>354</v>
      </c>
      <c r="D419" s="496"/>
      <c r="E419" s="503"/>
      <c r="F419" s="504"/>
      <c r="G419" s="503"/>
      <c r="H419" s="505"/>
      <c r="I419" s="432"/>
      <c r="J419" s="505"/>
      <c r="K419" s="432"/>
      <c r="L419" s="505"/>
      <c r="M419" s="432"/>
      <c r="N419" s="505"/>
      <c r="O419" s="432"/>
      <c r="P419" s="505"/>
      <c r="Q419" s="432"/>
      <c r="R419" s="505">
        <f t="shared" si="93"/>
        <v>0</v>
      </c>
      <c r="S419" s="432">
        <f t="shared" si="94"/>
        <v>0</v>
      </c>
      <c r="T419" s="485"/>
    </row>
    <row r="420" ht="31.5">
      <c r="A420" s="494" t="s">
        <v>963</v>
      </c>
      <c r="B420" s="502" t="s">
        <v>358</v>
      </c>
      <c r="C420" s="262" t="s">
        <v>354</v>
      </c>
      <c r="D420" s="496"/>
      <c r="E420" s="503"/>
      <c r="F420" s="504"/>
      <c r="G420" s="503"/>
      <c r="H420" s="505"/>
      <c r="I420" s="432"/>
      <c r="J420" s="505"/>
      <c r="K420" s="432"/>
      <c r="L420" s="505"/>
      <c r="M420" s="432"/>
      <c r="N420" s="505"/>
      <c r="O420" s="432"/>
      <c r="P420" s="505"/>
      <c r="Q420" s="432"/>
      <c r="R420" s="505">
        <f t="shared" si="93"/>
        <v>0</v>
      </c>
      <c r="S420" s="432">
        <f t="shared" si="94"/>
        <v>0</v>
      </c>
      <c r="T420" s="485"/>
    </row>
    <row r="421" ht="15.75">
      <c r="A421" s="494" t="s">
        <v>964</v>
      </c>
      <c r="B421" s="502" t="s">
        <v>725</v>
      </c>
      <c r="C421" s="262" t="s">
        <v>354</v>
      </c>
      <c r="D421" s="496"/>
      <c r="E421" s="503"/>
      <c r="F421" s="504"/>
      <c r="G421" s="503"/>
      <c r="H421" s="505"/>
      <c r="I421" s="432"/>
      <c r="J421" s="505"/>
      <c r="K421" s="432"/>
      <c r="L421" s="505"/>
      <c r="M421" s="432"/>
      <c r="N421" s="505"/>
      <c r="O421" s="432"/>
      <c r="P421" s="505"/>
      <c r="Q421" s="432"/>
      <c r="R421" s="505">
        <f t="shared" si="93"/>
        <v>0</v>
      </c>
      <c r="S421" s="432">
        <f t="shared" si="94"/>
        <v>0</v>
      </c>
      <c r="T421" s="485"/>
    </row>
    <row r="422" ht="15.75">
      <c r="A422" s="494" t="s">
        <v>965</v>
      </c>
      <c r="B422" s="502" t="s">
        <v>728</v>
      </c>
      <c r="C422" s="262" t="s">
        <v>354</v>
      </c>
      <c r="D422" s="496"/>
      <c r="E422" s="503"/>
      <c r="F422" s="504"/>
      <c r="G422" s="503"/>
      <c r="H422" s="505"/>
      <c r="I422" s="432"/>
      <c r="J422" s="505"/>
      <c r="K422" s="432"/>
      <c r="L422" s="505"/>
      <c r="M422" s="432"/>
      <c r="N422" s="505"/>
      <c r="O422" s="432"/>
      <c r="P422" s="505"/>
      <c r="Q422" s="432"/>
      <c r="R422" s="505">
        <f t="shared" si="93"/>
        <v>0</v>
      </c>
      <c r="S422" s="432">
        <f t="shared" si="94"/>
        <v>0</v>
      </c>
      <c r="T422" s="485"/>
    </row>
    <row r="423" ht="15.75">
      <c r="A423" s="494" t="s">
        <v>966</v>
      </c>
      <c r="B423" s="502" t="s">
        <v>731</v>
      </c>
      <c r="C423" s="262" t="s">
        <v>354</v>
      </c>
      <c r="D423" s="496"/>
      <c r="E423" s="503"/>
      <c r="F423" s="504"/>
      <c r="G423" s="503"/>
      <c r="H423" s="505"/>
      <c r="I423" s="432"/>
      <c r="J423" s="505"/>
      <c r="K423" s="432"/>
      <c r="L423" s="505"/>
      <c r="M423" s="432"/>
      <c r="N423" s="505"/>
      <c r="O423" s="432"/>
      <c r="P423" s="505"/>
      <c r="Q423" s="432"/>
      <c r="R423" s="505">
        <f t="shared" si="93"/>
        <v>0</v>
      </c>
      <c r="S423" s="432">
        <f t="shared" si="94"/>
        <v>0</v>
      </c>
      <c r="T423" s="485"/>
    </row>
    <row r="424" ht="15.75">
      <c r="A424" s="494" t="s">
        <v>967</v>
      </c>
      <c r="B424" s="502" t="s">
        <v>737</v>
      </c>
      <c r="C424" s="262" t="s">
        <v>354</v>
      </c>
      <c r="D424" s="496"/>
      <c r="E424" s="503"/>
      <c r="F424" s="504"/>
      <c r="G424" s="503"/>
      <c r="H424" s="505"/>
      <c r="I424" s="432"/>
      <c r="J424" s="505"/>
      <c r="K424" s="432"/>
      <c r="L424" s="505"/>
      <c r="M424" s="432"/>
      <c r="N424" s="505"/>
      <c r="O424" s="432"/>
      <c r="P424" s="505"/>
      <c r="Q424" s="432"/>
      <c r="R424" s="505">
        <f t="shared" si="93"/>
        <v>0</v>
      </c>
      <c r="S424" s="432">
        <f t="shared" si="94"/>
        <v>0</v>
      </c>
      <c r="T424" s="485"/>
    </row>
    <row r="425" ht="15.75">
      <c r="A425" s="494" t="s">
        <v>968</v>
      </c>
      <c r="B425" s="502" t="s">
        <v>739</v>
      </c>
      <c r="C425" s="262" t="s">
        <v>354</v>
      </c>
      <c r="D425" s="496"/>
      <c r="E425" s="503"/>
      <c r="F425" s="504"/>
      <c r="G425" s="503"/>
      <c r="H425" s="505"/>
      <c r="I425" s="432"/>
      <c r="J425" s="505"/>
      <c r="K425" s="432"/>
      <c r="L425" s="505"/>
      <c r="M425" s="432"/>
      <c r="N425" s="505"/>
      <c r="O425" s="432"/>
      <c r="P425" s="505"/>
      <c r="Q425" s="432"/>
      <c r="R425" s="505">
        <f t="shared" si="93"/>
        <v>0</v>
      </c>
      <c r="S425" s="432">
        <f t="shared" si="94"/>
        <v>0</v>
      </c>
      <c r="T425" s="485"/>
    </row>
    <row r="426" ht="31.5">
      <c r="A426" s="494" t="s">
        <v>969</v>
      </c>
      <c r="B426" s="502" t="s">
        <v>742</v>
      </c>
      <c r="C426" s="262" t="s">
        <v>354</v>
      </c>
      <c r="D426" s="496"/>
      <c r="E426" s="503"/>
      <c r="F426" s="504"/>
      <c r="G426" s="503"/>
      <c r="H426" s="505"/>
      <c r="I426" s="432"/>
      <c r="J426" s="505"/>
      <c r="K426" s="432"/>
      <c r="L426" s="505"/>
      <c r="M426" s="432"/>
      <c r="N426" s="505"/>
      <c r="O426" s="432"/>
      <c r="P426" s="505"/>
      <c r="Q426" s="432"/>
      <c r="R426" s="505">
        <f t="shared" si="93"/>
        <v>0</v>
      </c>
      <c r="S426" s="432">
        <f t="shared" si="94"/>
        <v>0</v>
      </c>
      <c r="T426" s="485"/>
    </row>
    <row r="427" ht="15.75">
      <c r="A427" s="494" t="s">
        <v>970</v>
      </c>
      <c r="B427" s="506" t="s">
        <v>370</v>
      </c>
      <c r="C427" s="262" t="s">
        <v>354</v>
      </c>
      <c r="D427" s="496"/>
      <c r="E427" s="503"/>
      <c r="F427" s="504"/>
      <c r="G427" s="503"/>
      <c r="H427" s="505"/>
      <c r="I427" s="432"/>
      <c r="J427" s="505"/>
      <c r="K427" s="432"/>
      <c r="L427" s="505"/>
      <c r="M427" s="432"/>
      <c r="N427" s="505"/>
      <c r="O427" s="432"/>
      <c r="P427" s="505"/>
      <c r="Q427" s="432"/>
      <c r="R427" s="505">
        <f t="shared" si="93"/>
        <v>0</v>
      </c>
      <c r="S427" s="432">
        <f t="shared" si="94"/>
        <v>0</v>
      </c>
      <c r="T427" s="485"/>
    </row>
    <row r="428" ht="15.75">
      <c r="A428" s="494" t="s">
        <v>971</v>
      </c>
      <c r="B428" s="506" t="s">
        <v>372</v>
      </c>
      <c r="C428" s="262" t="s">
        <v>354</v>
      </c>
      <c r="D428" s="496"/>
      <c r="E428" s="503"/>
      <c r="F428" s="504"/>
      <c r="G428" s="503"/>
      <c r="H428" s="505"/>
      <c r="I428" s="432"/>
      <c r="J428" s="505"/>
      <c r="K428" s="432"/>
      <c r="L428" s="505"/>
      <c r="M428" s="432"/>
      <c r="N428" s="505"/>
      <c r="O428" s="432"/>
      <c r="P428" s="505"/>
      <c r="Q428" s="432"/>
      <c r="R428" s="505">
        <f t="shared" si="93"/>
        <v>0</v>
      </c>
      <c r="S428" s="432">
        <f t="shared" si="94"/>
        <v>0</v>
      </c>
      <c r="T428" s="485"/>
    </row>
    <row r="429" ht="15.75">
      <c r="A429" s="494" t="s">
        <v>133</v>
      </c>
      <c r="B429" s="495" t="s">
        <v>972</v>
      </c>
      <c r="C429" s="262" t="s">
        <v>354</v>
      </c>
      <c r="D429" s="509"/>
      <c r="E429" s="497"/>
      <c r="F429" s="498"/>
      <c r="G429" s="499"/>
      <c r="H429" s="500"/>
      <c r="I429" s="510"/>
      <c r="J429" s="500"/>
      <c r="K429" s="510"/>
      <c r="L429" s="500"/>
      <c r="M429" s="510"/>
      <c r="N429" s="500"/>
      <c r="O429" s="510"/>
      <c r="P429" s="500"/>
      <c r="Q429" s="510"/>
      <c r="R429" s="500">
        <f t="shared" si="93"/>
        <v>0</v>
      </c>
      <c r="S429" s="510">
        <f t="shared" si="94"/>
        <v>0</v>
      </c>
      <c r="T429" s="485"/>
    </row>
    <row r="430" ht="15.75">
      <c r="A430" s="494" t="s">
        <v>135</v>
      </c>
      <c r="B430" s="495" t="s">
        <v>136</v>
      </c>
      <c r="C430" s="262" t="s">
        <v>354</v>
      </c>
      <c r="D430" s="496"/>
      <c r="E430" s="503"/>
      <c r="F430" s="504"/>
      <c r="G430" s="503"/>
      <c r="H430" s="505"/>
      <c r="I430" s="266"/>
      <c r="J430" s="505"/>
      <c r="K430" s="266"/>
      <c r="L430" s="505"/>
      <c r="M430" s="266"/>
      <c r="N430" s="505"/>
      <c r="O430" s="266"/>
      <c r="P430" s="505"/>
      <c r="Q430" s="266"/>
      <c r="R430" s="505">
        <f t="shared" si="93"/>
        <v>0</v>
      </c>
      <c r="S430" s="266">
        <f t="shared" si="94"/>
        <v>0</v>
      </c>
      <c r="T430" s="485"/>
    </row>
    <row r="431" ht="18.75">
      <c r="A431" s="494" t="s">
        <v>137</v>
      </c>
      <c r="B431" s="502" t="s">
        <v>973</v>
      </c>
      <c r="C431" s="262" t="s">
        <v>354</v>
      </c>
      <c r="D431" s="496"/>
      <c r="E431" s="503"/>
      <c r="F431" s="504"/>
      <c r="G431" s="503"/>
      <c r="H431" s="505"/>
      <c r="I431" s="266"/>
      <c r="J431" s="505"/>
      <c r="K431" s="266"/>
      <c r="L431" s="505"/>
      <c r="M431" s="266"/>
      <c r="N431" s="505"/>
      <c r="O431" s="266"/>
      <c r="P431" s="505"/>
      <c r="Q431" s="266"/>
      <c r="R431" s="505">
        <f t="shared" si="93"/>
        <v>0</v>
      </c>
      <c r="S431" s="266">
        <f t="shared" si="94"/>
        <v>0</v>
      </c>
      <c r="T431" s="485"/>
      <c r="U431" s="511"/>
      <c r="V431" s="512"/>
    </row>
    <row r="432" ht="16.5">
      <c r="A432" s="513" t="s">
        <v>974</v>
      </c>
      <c r="B432" s="514" t="s">
        <v>975</v>
      </c>
      <c r="C432" s="271" t="s">
        <v>354</v>
      </c>
      <c r="D432" s="515"/>
      <c r="E432" s="516"/>
      <c r="F432" s="517"/>
      <c r="G432" s="516"/>
      <c r="H432" s="518"/>
      <c r="I432" s="275"/>
      <c r="J432" s="518"/>
      <c r="K432" s="275"/>
      <c r="L432" s="518"/>
      <c r="M432" s="275"/>
      <c r="N432" s="518"/>
      <c r="O432" s="275"/>
      <c r="P432" s="518"/>
      <c r="Q432" s="275"/>
      <c r="R432" s="518">
        <f t="shared" si="93"/>
        <v>0</v>
      </c>
      <c r="S432" s="275">
        <f t="shared" si="94"/>
        <v>0</v>
      </c>
      <c r="T432" s="485"/>
      <c r="U432" s="519"/>
    </row>
    <row r="433" ht="15.75">
      <c r="A433" s="520" t="s">
        <v>375</v>
      </c>
      <c r="B433" s="521" t="s">
        <v>142</v>
      </c>
      <c r="C433" s="342" t="s">
        <v>354</v>
      </c>
      <c r="D433" s="522"/>
      <c r="E433" s="523"/>
      <c r="F433" s="524"/>
      <c r="G433" s="523"/>
      <c r="H433" s="525"/>
      <c r="I433" s="346"/>
      <c r="J433" s="525"/>
      <c r="K433" s="346"/>
      <c r="L433" s="525"/>
      <c r="M433" s="346"/>
      <c r="N433" s="525"/>
      <c r="O433" s="346"/>
      <c r="P433" s="525"/>
      <c r="Q433" s="346"/>
      <c r="R433" s="525">
        <f t="shared" si="93"/>
        <v>0</v>
      </c>
      <c r="S433" s="346">
        <f t="shared" si="94"/>
        <v>0</v>
      </c>
      <c r="T433" s="485"/>
    </row>
    <row r="434" ht="15.75">
      <c r="A434" s="494" t="s">
        <v>143</v>
      </c>
      <c r="B434" s="495" t="s">
        <v>144</v>
      </c>
      <c r="C434" s="262" t="s">
        <v>354</v>
      </c>
      <c r="D434" s="496"/>
      <c r="E434" s="503"/>
      <c r="F434" s="504"/>
      <c r="G434" s="503"/>
      <c r="H434" s="505"/>
      <c r="I434" s="266"/>
      <c r="J434" s="505"/>
      <c r="K434" s="266"/>
      <c r="L434" s="505"/>
      <c r="M434" s="266"/>
      <c r="N434" s="505"/>
      <c r="O434" s="266"/>
      <c r="P434" s="505"/>
      <c r="Q434" s="266"/>
      <c r="R434" s="505">
        <f t="shared" si="93"/>
        <v>0</v>
      </c>
      <c r="S434" s="266">
        <f t="shared" si="94"/>
        <v>0</v>
      </c>
      <c r="T434" s="485"/>
    </row>
    <row r="435" ht="15.75">
      <c r="A435" s="494" t="s">
        <v>145</v>
      </c>
      <c r="B435" s="495" t="s">
        <v>146</v>
      </c>
      <c r="C435" s="262" t="s">
        <v>354</v>
      </c>
      <c r="D435" s="496"/>
      <c r="E435" s="503"/>
      <c r="F435" s="504"/>
      <c r="G435" s="503"/>
      <c r="H435" s="505"/>
      <c r="I435" s="266"/>
      <c r="J435" s="505"/>
      <c r="K435" s="266"/>
      <c r="L435" s="505"/>
      <c r="M435" s="266"/>
      <c r="N435" s="505"/>
      <c r="O435" s="266"/>
      <c r="P435" s="505"/>
      <c r="Q435" s="266"/>
      <c r="R435" s="505">
        <f t="shared" si="93"/>
        <v>0</v>
      </c>
      <c r="S435" s="266">
        <f t="shared" si="94"/>
        <v>0</v>
      </c>
      <c r="T435" s="485"/>
    </row>
    <row r="436" ht="15.75">
      <c r="A436" s="494" t="s">
        <v>147</v>
      </c>
      <c r="B436" s="495" t="s">
        <v>976</v>
      </c>
      <c r="C436" s="262" t="s">
        <v>354</v>
      </c>
      <c r="D436" s="496"/>
      <c r="E436" s="503"/>
      <c r="F436" s="504"/>
      <c r="G436" s="503"/>
      <c r="H436" s="505"/>
      <c r="I436" s="266"/>
      <c r="J436" s="505"/>
      <c r="K436" s="266"/>
      <c r="L436" s="505"/>
      <c r="M436" s="266"/>
      <c r="N436" s="505"/>
      <c r="O436" s="266"/>
      <c r="P436" s="505"/>
      <c r="Q436" s="266"/>
      <c r="R436" s="505">
        <f t="shared" si="93"/>
        <v>0</v>
      </c>
      <c r="S436" s="266">
        <f t="shared" si="94"/>
        <v>0</v>
      </c>
      <c r="T436" s="485"/>
    </row>
    <row r="437" ht="15.75">
      <c r="A437" s="494" t="s">
        <v>149</v>
      </c>
      <c r="B437" s="495" t="s">
        <v>148</v>
      </c>
      <c r="C437" s="262" t="s">
        <v>354</v>
      </c>
      <c r="D437" s="496"/>
      <c r="E437" s="503"/>
      <c r="F437" s="504"/>
      <c r="G437" s="503"/>
      <c r="H437" s="505"/>
      <c r="I437" s="266"/>
      <c r="J437" s="505"/>
      <c r="K437" s="266"/>
      <c r="L437" s="505"/>
      <c r="M437" s="266"/>
      <c r="N437" s="505"/>
      <c r="O437" s="266"/>
      <c r="P437" s="505"/>
      <c r="Q437" s="266"/>
      <c r="R437" s="505">
        <f t="shared" si="93"/>
        <v>0</v>
      </c>
      <c r="S437" s="266">
        <f t="shared" si="94"/>
        <v>0</v>
      </c>
      <c r="T437" s="485"/>
    </row>
    <row r="438" ht="15.75">
      <c r="A438" s="494" t="s">
        <v>155</v>
      </c>
      <c r="B438" s="495" t="s">
        <v>150</v>
      </c>
      <c r="C438" s="262" t="s">
        <v>354</v>
      </c>
      <c r="D438" s="496"/>
      <c r="E438" s="503"/>
      <c r="F438" s="504"/>
      <c r="G438" s="503"/>
      <c r="H438" s="505"/>
      <c r="I438" s="266"/>
      <c r="J438" s="505"/>
      <c r="K438" s="266"/>
      <c r="L438" s="505"/>
      <c r="M438" s="266"/>
      <c r="N438" s="505"/>
      <c r="O438" s="266"/>
      <c r="P438" s="505"/>
      <c r="Q438" s="266"/>
      <c r="R438" s="505">
        <f t="shared" si="93"/>
        <v>0</v>
      </c>
      <c r="S438" s="266">
        <f t="shared" si="94"/>
        <v>0</v>
      </c>
      <c r="T438" s="485"/>
    </row>
    <row r="439" ht="15.75">
      <c r="A439" s="494" t="s">
        <v>417</v>
      </c>
      <c r="B439" s="502" t="s">
        <v>623</v>
      </c>
      <c r="C439" s="262" t="s">
        <v>354</v>
      </c>
      <c r="D439" s="496"/>
      <c r="E439" s="503"/>
      <c r="F439" s="504"/>
      <c r="G439" s="503"/>
      <c r="H439" s="505"/>
      <c r="I439" s="266"/>
      <c r="J439" s="505"/>
      <c r="K439" s="266"/>
      <c r="L439" s="505"/>
      <c r="M439" s="266"/>
      <c r="N439" s="505"/>
      <c r="O439" s="266"/>
      <c r="P439" s="505"/>
      <c r="Q439" s="266"/>
      <c r="R439" s="505">
        <f t="shared" si="93"/>
        <v>0</v>
      </c>
      <c r="S439" s="266">
        <f t="shared" si="94"/>
        <v>0</v>
      </c>
      <c r="T439" s="485"/>
    </row>
    <row r="440" ht="31.5">
      <c r="A440" s="494" t="s">
        <v>977</v>
      </c>
      <c r="B440" s="502" t="s">
        <v>978</v>
      </c>
      <c r="C440" s="262" t="s">
        <v>354</v>
      </c>
      <c r="D440" s="496"/>
      <c r="E440" s="503"/>
      <c r="F440" s="504"/>
      <c r="G440" s="503"/>
      <c r="H440" s="505"/>
      <c r="I440" s="266"/>
      <c r="J440" s="505"/>
      <c r="K440" s="266"/>
      <c r="L440" s="505"/>
      <c r="M440" s="266"/>
      <c r="N440" s="505"/>
      <c r="O440" s="266"/>
      <c r="P440" s="505"/>
      <c r="Q440" s="266"/>
      <c r="R440" s="505">
        <f t="shared" ref="R440:R453" si="99">H440+J440+L440+N440+P440</f>
        <v>0</v>
      </c>
      <c r="S440" s="266">
        <f t="shared" ref="S440:S453" si="100">I440+K440+M440+O440+Q440</f>
        <v>0</v>
      </c>
      <c r="T440" s="485"/>
    </row>
    <row r="441" ht="15.75">
      <c r="A441" s="494" t="s">
        <v>419</v>
      </c>
      <c r="B441" s="502" t="s">
        <v>625</v>
      </c>
      <c r="C441" s="262" t="s">
        <v>354</v>
      </c>
      <c r="D441" s="496"/>
      <c r="E441" s="503"/>
      <c r="F441" s="504"/>
      <c r="G441" s="503"/>
      <c r="H441" s="505"/>
      <c r="I441" s="266"/>
      <c r="J441" s="505"/>
      <c r="K441" s="266"/>
      <c r="L441" s="505"/>
      <c r="M441" s="266"/>
      <c r="N441" s="505"/>
      <c r="O441" s="266"/>
      <c r="P441" s="505"/>
      <c r="Q441" s="266"/>
      <c r="R441" s="505">
        <f t="shared" si="99"/>
        <v>0</v>
      </c>
      <c r="S441" s="266">
        <f t="shared" si="100"/>
        <v>0</v>
      </c>
      <c r="T441" s="485"/>
    </row>
    <row r="442" ht="31.5">
      <c r="A442" s="494" t="s">
        <v>979</v>
      </c>
      <c r="B442" s="502" t="s">
        <v>980</v>
      </c>
      <c r="C442" s="262" t="s">
        <v>354</v>
      </c>
      <c r="D442" s="496"/>
      <c r="E442" s="503"/>
      <c r="F442" s="504"/>
      <c r="G442" s="503"/>
      <c r="H442" s="505"/>
      <c r="I442" s="266"/>
      <c r="J442" s="505"/>
      <c r="K442" s="266"/>
      <c r="L442" s="505"/>
      <c r="M442" s="266"/>
      <c r="N442" s="505"/>
      <c r="O442" s="266"/>
      <c r="P442" s="505"/>
      <c r="Q442" s="266"/>
      <c r="R442" s="505">
        <f t="shared" si="99"/>
        <v>0</v>
      </c>
      <c r="S442" s="266">
        <f t="shared" si="100"/>
        <v>0</v>
      </c>
      <c r="T442" s="485"/>
    </row>
    <row r="443" ht="15.75">
      <c r="A443" s="494" t="s">
        <v>157</v>
      </c>
      <c r="B443" s="495" t="s">
        <v>158</v>
      </c>
      <c r="C443" s="262" t="s">
        <v>354</v>
      </c>
      <c r="D443" s="319"/>
      <c r="E443" s="503"/>
      <c r="F443" s="504"/>
      <c r="G443" s="503"/>
      <c r="H443" s="505"/>
      <c r="I443" s="266"/>
      <c r="J443" s="505"/>
      <c r="K443" s="266"/>
      <c r="L443" s="505"/>
      <c r="M443" s="266"/>
      <c r="N443" s="505"/>
      <c r="O443" s="266"/>
      <c r="P443" s="505"/>
      <c r="Q443" s="266"/>
      <c r="R443" s="505">
        <f t="shared" si="99"/>
        <v>0</v>
      </c>
      <c r="S443" s="266">
        <f t="shared" si="100"/>
        <v>0</v>
      </c>
      <c r="T443" s="485"/>
    </row>
    <row r="444" ht="16.5">
      <c r="A444" s="513" t="s">
        <v>159</v>
      </c>
      <c r="B444" s="526" t="s">
        <v>160</v>
      </c>
      <c r="C444" s="271" t="s">
        <v>354</v>
      </c>
      <c r="D444" s="515"/>
      <c r="E444" s="516"/>
      <c r="F444" s="517"/>
      <c r="G444" s="516"/>
      <c r="H444" s="518"/>
      <c r="I444" s="275"/>
      <c r="J444" s="518"/>
      <c r="K444" s="275"/>
      <c r="L444" s="518"/>
      <c r="M444" s="275"/>
      <c r="N444" s="518"/>
      <c r="O444" s="275"/>
      <c r="P444" s="518"/>
      <c r="Q444" s="275"/>
      <c r="R444" s="518">
        <f t="shared" si="99"/>
        <v>0</v>
      </c>
      <c r="S444" s="275">
        <f t="shared" si="100"/>
        <v>0</v>
      </c>
      <c r="T444" s="485"/>
    </row>
    <row r="445" ht="15.75">
      <c r="A445" s="520" t="s">
        <v>437</v>
      </c>
      <c r="B445" s="527" t="s">
        <v>430</v>
      </c>
      <c r="C445" s="528" t="s">
        <v>66</v>
      </c>
      <c r="D445" s="529"/>
      <c r="E445" s="530"/>
      <c r="F445" s="525"/>
      <c r="G445" s="523"/>
      <c r="H445" s="525"/>
      <c r="I445" s="346"/>
      <c r="J445" s="525"/>
      <c r="K445" s="346"/>
      <c r="L445" s="525"/>
      <c r="M445" s="346"/>
      <c r="N445" s="525"/>
      <c r="O445" s="346"/>
      <c r="P445" s="525"/>
      <c r="Q445" s="346"/>
      <c r="R445" s="525">
        <f t="shared" si="99"/>
        <v>0</v>
      </c>
      <c r="S445" s="346">
        <f t="shared" si="100"/>
        <v>0</v>
      </c>
      <c r="T445" s="202"/>
    </row>
    <row r="446" ht="47.25">
      <c r="A446" s="531" t="s">
        <v>981</v>
      </c>
      <c r="B446" s="495" t="s">
        <v>982</v>
      </c>
      <c r="C446" s="292" t="s">
        <v>354</v>
      </c>
      <c r="D446" s="496"/>
      <c r="E446" s="503"/>
      <c r="F446" s="505"/>
      <c r="G446" s="503"/>
      <c r="H446" s="505"/>
      <c r="I446" s="266"/>
      <c r="J446" s="505"/>
      <c r="K446" s="266"/>
      <c r="L446" s="505"/>
      <c r="M446" s="266"/>
      <c r="N446" s="505"/>
      <c r="O446" s="266"/>
      <c r="P446" s="505"/>
      <c r="Q446" s="266"/>
      <c r="R446" s="505">
        <f t="shared" si="99"/>
        <v>0</v>
      </c>
      <c r="S446" s="266">
        <f t="shared" si="100"/>
        <v>0</v>
      </c>
      <c r="T446" s="202"/>
    </row>
    <row r="447" ht="15.75">
      <c r="A447" s="531" t="s">
        <v>440</v>
      </c>
      <c r="B447" s="502" t="s">
        <v>983</v>
      </c>
      <c r="C447" s="292" t="s">
        <v>354</v>
      </c>
      <c r="D447" s="496"/>
      <c r="E447" s="503"/>
      <c r="F447" s="505"/>
      <c r="G447" s="503"/>
      <c r="H447" s="505"/>
      <c r="I447" s="266"/>
      <c r="J447" s="505"/>
      <c r="K447" s="266"/>
      <c r="L447" s="505"/>
      <c r="M447" s="266"/>
      <c r="N447" s="505"/>
      <c r="O447" s="266"/>
      <c r="P447" s="505"/>
      <c r="Q447" s="266"/>
      <c r="R447" s="505">
        <f t="shared" si="99"/>
        <v>0</v>
      </c>
      <c r="S447" s="266">
        <f t="shared" si="100"/>
        <v>0</v>
      </c>
      <c r="T447" s="202"/>
    </row>
    <row r="448" ht="31.5">
      <c r="A448" s="531" t="s">
        <v>441</v>
      </c>
      <c r="B448" s="502" t="s">
        <v>984</v>
      </c>
      <c r="C448" s="292" t="s">
        <v>354</v>
      </c>
      <c r="D448" s="496"/>
      <c r="E448" s="503"/>
      <c r="F448" s="505"/>
      <c r="G448" s="503"/>
      <c r="H448" s="505"/>
      <c r="I448" s="266"/>
      <c r="J448" s="505"/>
      <c r="K448" s="266"/>
      <c r="L448" s="505"/>
      <c r="M448" s="266"/>
      <c r="N448" s="505"/>
      <c r="O448" s="266"/>
      <c r="P448" s="505"/>
      <c r="Q448" s="266"/>
      <c r="R448" s="505">
        <f t="shared" si="99"/>
        <v>0</v>
      </c>
      <c r="S448" s="266">
        <f t="shared" si="100"/>
        <v>0</v>
      </c>
      <c r="T448" s="202"/>
    </row>
    <row r="449" ht="15.75">
      <c r="A449" s="531" t="s">
        <v>442</v>
      </c>
      <c r="B449" s="502" t="s">
        <v>985</v>
      </c>
      <c r="C449" s="292" t="s">
        <v>354</v>
      </c>
      <c r="D449" s="496"/>
      <c r="E449" s="503"/>
      <c r="F449" s="505"/>
      <c r="G449" s="503"/>
      <c r="H449" s="505"/>
      <c r="I449" s="266"/>
      <c r="J449" s="505"/>
      <c r="K449" s="266"/>
      <c r="L449" s="505"/>
      <c r="M449" s="266"/>
      <c r="N449" s="505"/>
      <c r="O449" s="266"/>
      <c r="P449" s="505"/>
      <c r="Q449" s="266"/>
      <c r="R449" s="505">
        <f t="shared" si="99"/>
        <v>0</v>
      </c>
      <c r="S449" s="266">
        <f t="shared" si="100"/>
        <v>0</v>
      </c>
      <c r="T449" s="202"/>
    </row>
    <row r="450" ht="33" customHeight="1">
      <c r="A450" s="531" t="s">
        <v>443</v>
      </c>
      <c r="B450" s="495" t="s">
        <v>986</v>
      </c>
      <c r="C450" s="532" t="s">
        <v>66</v>
      </c>
      <c r="D450" s="496"/>
      <c r="E450" s="503"/>
      <c r="F450" s="505"/>
      <c r="G450" s="503"/>
      <c r="H450" s="505"/>
      <c r="I450" s="266"/>
      <c r="J450" s="505"/>
      <c r="K450" s="266"/>
      <c r="L450" s="505"/>
      <c r="M450" s="266"/>
      <c r="N450" s="505"/>
      <c r="O450" s="266"/>
      <c r="P450" s="505"/>
      <c r="Q450" s="266"/>
      <c r="R450" s="505">
        <f t="shared" si="99"/>
        <v>0</v>
      </c>
      <c r="S450" s="266">
        <f t="shared" si="100"/>
        <v>0</v>
      </c>
      <c r="T450" s="202"/>
    </row>
    <row r="451" ht="15.75">
      <c r="A451" s="531" t="s">
        <v>987</v>
      </c>
      <c r="B451" s="502" t="s">
        <v>988</v>
      </c>
      <c r="C451" s="292" t="s">
        <v>354</v>
      </c>
      <c r="D451" s="496"/>
      <c r="E451" s="503"/>
      <c r="F451" s="505"/>
      <c r="G451" s="503"/>
      <c r="H451" s="505"/>
      <c r="I451" s="266"/>
      <c r="J451" s="505"/>
      <c r="K451" s="266"/>
      <c r="L451" s="505"/>
      <c r="M451" s="266"/>
      <c r="N451" s="505"/>
      <c r="O451" s="266"/>
      <c r="P451" s="505"/>
      <c r="Q451" s="266"/>
      <c r="R451" s="505">
        <f t="shared" si="99"/>
        <v>0</v>
      </c>
      <c r="S451" s="266">
        <f t="shared" si="100"/>
        <v>0</v>
      </c>
      <c r="T451" s="202"/>
    </row>
    <row r="452" ht="15.75">
      <c r="A452" s="531" t="s">
        <v>989</v>
      </c>
      <c r="B452" s="502" t="s">
        <v>990</v>
      </c>
      <c r="C452" s="292" t="s">
        <v>354</v>
      </c>
      <c r="D452" s="496"/>
      <c r="E452" s="503"/>
      <c r="F452" s="505"/>
      <c r="G452" s="503"/>
      <c r="H452" s="505"/>
      <c r="I452" s="266"/>
      <c r="J452" s="505"/>
      <c r="K452" s="266"/>
      <c r="L452" s="505"/>
      <c r="M452" s="266"/>
      <c r="N452" s="505"/>
      <c r="O452" s="266"/>
      <c r="P452" s="505"/>
      <c r="Q452" s="266"/>
      <c r="R452" s="505">
        <f t="shared" si="99"/>
        <v>0</v>
      </c>
      <c r="S452" s="266">
        <f t="shared" si="100"/>
        <v>0</v>
      </c>
      <c r="T452" s="202"/>
    </row>
    <row r="453" ht="16.5">
      <c r="A453" s="533" t="s">
        <v>991</v>
      </c>
      <c r="B453" s="514" t="s">
        <v>992</v>
      </c>
      <c r="C453" s="271" t="s">
        <v>354</v>
      </c>
      <c r="D453" s="515"/>
      <c r="E453" s="516"/>
      <c r="F453" s="518"/>
      <c r="G453" s="516"/>
      <c r="H453" s="518"/>
      <c r="I453" s="275"/>
      <c r="J453" s="518"/>
      <c r="K453" s="275"/>
      <c r="L453" s="518"/>
      <c r="M453" s="275"/>
      <c r="N453" s="518"/>
      <c r="O453" s="275"/>
      <c r="P453" s="518"/>
      <c r="Q453" s="275"/>
      <c r="R453" s="518">
        <f t="shared" si="99"/>
        <v>0</v>
      </c>
      <c r="S453" s="275">
        <f t="shared" si="100"/>
        <v>0</v>
      </c>
      <c r="T453" s="202"/>
    </row>
    <row r="454" ht="15.75">
      <c r="A454" s="198"/>
      <c r="B454" s="199"/>
      <c r="C454" s="200"/>
      <c r="D454" s="200"/>
      <c r="E454" s="201"/>
      <c r="F454" s="202"/>
      <c r="G454" s="202"/>
      <c r="H454" s="202"/>
      <c r="I454" s="202"/>
      <c r="J454" s="202"/>
      <c r="K454" s="202"/>
      <c r="L454" s="202"/>
      <c r="M454" s="202"/>
      <c r="N454" s="202"/>
      <c r="O454" s="202"/>
      <c r="P454" s="202"/>
      <c r="Q454" s="202"/>
      <c r="R454" s="202"/>
      <c r="S454" s="202"/>
      <c r="T454" s="202"/>
    </row>
    <row r="455" ht="15.75">
      <c r="A455" s="198"/>
      <c r="B455" s="199"/>
      <c r="C455" s="200"/>
      <c r="D455" s="200"/>
      <c r="E455" s="201"/>
      <c r="F455" s="202"/>
      <c r="G455" s="202"/>
      <c r="H455" s="202"/>
      <c r="I455" s="202"/>
      <c r="J455" s="202"/>
      <c r="K455" s="202"/>
      <c r="L455" s="202"/>
      <c r="M455" s="202"/>
      <c r="N455" s="202"/>
      <c r="O455" s="202"/>
      <c r="P455" s="202"/>
      <c r="Q455" s="202"/>
      <c r="R455" s="202"/>
      <c r="S455" s="202"/>
      <c r="T455" s="202"/>
    </row>
    <row r="456" ht="15.75">
      <c r="A456" s="534" t="s">
        <v>993</v>
      </c>
      <c r="B456" s="199"/>
      <c r="C456" s="200"/>
      <c r="D456" s="200"/>
      <c r="E456" s="201"/>
      <c r="F456" s="202"/>
      <c r="G456" s="202"/>
      <c r="H456" s="202"/>
      <c r="I456" s="202"/>
      <c r="J456" s="202"/>
      <c r="K456" s="202"/>
      <c r="L456" s="202"/>
      <c r="M456" s="202"/>
      <c r="N456" s="202"/>
      <c r="O456" s="202"/>
      <c r="P456" s="202"/>
      <c r="Q456" s="202"/>
      <c r="R456" s="202"/>
      <c r="S456" s="202"/>
      <c r="T456" s="202"/>
    </row>
    <row r="457" ht="15.75">
      <c r="A457" s="535" t="s">
        <v>994</v>
      </c>
      <c r="B457" s="535"/>
      <c r="C457" s="535"/>
      <c r="D457" s="535"/>
      <c r="E457" s="535"/>
      <c r="F457" s="535"/>
      <c r="G457" s="535"/>
      <c r="H457" s="535"/>
      <c r="I457" s="535"/>
      <c r="J457" s="535"/>
      <c r="K457" s="535"/>
      <c r="L457" s="535"/>
      <c r="M457" s="535"/>
      <c r="N457" s="535"/>
      <c r="O457" s="535"/>
      <c r="P457" s="535"/>
      <c r="Q457" s="535"/>
      <c r="R457" s="535"/>
      <c r="S457" s="535"/>
      <c r="T457" s="535"/>
    </row>
    <row r="458" ht="15.75">
      <c r="A458" s="535" t="s">
        <v>995</v>
      </c>
      <c r="B458" s="535"/>
      <c r="C458" s="535"/>
      <c r="D458" s="535"/>
      <c r="E458" s="535"/>
      <c r="F458" s="535"/>
      <c r="G458" s="535"/>
      <c r="H458" s="535"/>
      <c r="I458" s="535"/>
      <c r="J458" s="535"/>
      <c r="K458" s="535"/>
      <c r="L458" s="535"/>
      <c r="M458" s="535"/>
      <c r="N458" s="535"/>
      <c r="O458" s="535"/>
      <c r="P458" s="535"/>
      <c r="Q458" s="535"/>
      <c r="R458" s="535"/>
      <c r="S458" s="535"/>
      <c r="T458" s="535"/>
    </row>
    <row r="459" ht="15.75">
      <c r="A459" s="535" t="s">
        <v>996</v>
      </c>
      <c r="B459" s="535"/>
      <c r="C459" s="535"/>
      <c r="D459" s="535"/>
      <c r="E459" s="535"/>
      <c r="F459" s="535"/>
      <c r="G459" s="535"/>
      <c r="H459" s="535"/>
      <c r="I459" s="535"/>
      <c r="J459" s="535"/>
      <c r="K459" s="535"/>
      <c r="L459" s="535"/>
      <c r="M459" s="535"/>
      <c r="N459" s="535"/>
      <c r="O459" s="535"/>
      <c r="P459" s="535"/>
      <c r="Q459" s="535"/>
      <c r="R459" s="535"/>
      <c r="S459" s="535"/>
      <c r="T459" s="535"/>
    </row>
    <row r="460" ht="15.75">
      <c r="A460" s="535" t="s">
        <v>997</v>
      </c>
      <c r="B460" s="199"/>
      <c r="C460" s="200"/>
      <c r="D460" s="200"/>
      <c r="E460" s="201"/>
      <c r="F460" s="202"/>
      <c r="G460" s="202"/>
      <c r="H460" s="202"/>
      <c r="I460" s="202"/>
      <c r="J460" s="202"/>
      <c r="K460" s="202"/>
      <c r="L460" s="202"/>
      <c r="M460" s="202"/>
      <c r="N460" s="202"/>
      <c r="O460" s="202"/>
      <c r="P460" s="202"/>
      <c r="Q460" s="202"/>
      <c r="R460" s="202"/>
      <c r="S460" s="202"/>
      <c r="T460" s="202"/>
    </row>
    <row r="461" ht="54" customHeight="1">
      <c r="A461" s="536" t="s">
        <v>998</v>
      </c>
      <c r="B461" s="536"/>
      <c r="C461" s="536"/>
      <c r="D461" s="536"/>
      <c r="E461" s="536"/>
      <c r="F461" s="536"/>
      <c r="G461" s="536"/>
      <c r="H461" s="536"/>
      <c r="I461" s="536"/>
      <c r="J461" s="536"/>
      <c r="K461" s="536"/>
      <c r="L461" s="536"/>
      <c r="M461" s="536"/>
      <c r="N461" s="536"/>
      <c r="O461" s="536"/>
      <c r="P461" s="536"/>
      <c r="Q461" s="536"/>
      <c r="R461" s="536"/>
      <c r="S461" s="536"/>
      <c r="T461" s="536"/>
    </row>
  </sheetData>
  <mergeCells count="34">
    <mergeCell ref="A6:S7"/>
    <mergeCell ref="A12:B12"/>
    <mergeCell ref="A14:S14"/>
    <mergeCell ref="A15:S15"/>
    <mergeCell ref="A18:S18"/>
    <mergeCell ref="A19:A20"/>
    <mergeCell ref="B19:B20"/>
    <mergeCell ref="C19:C20"/>
    <mergeCell ref="F19:G19"/>
    <mergeCell ref="H19:I19"/>
    <mergeCell ref="J19:K19"/>
    <mergeCell ref="L19:M19"/>
    <mergeCell ref="N19:O19"/>
    <mergeCell ref="P19:Q19"/>
    <mergeCell ref="R19:S19"/>
    <mergeCell ref="A22:S22"/>
    <mergeCell ref="A166:S166"/>
    <mergeCell ref="A320:S320"/>
    <mergeCell ref="A370:S371"/>
    <mergeCell ref="A372:A373"/>
    <mergeCell ref="B372:B373"/>
    <mergeCell ref="C372:C373"/>
    <mergeCell ref="F372:G372"/>
    <mergeCell ref="H372:I372"/>
    <mergeCell ref="J372:K372"/>
    <mergeCell ref="L372:M372"/>
    <mergeCell ref="N372:O372"/>
    <mergeCell ref="P372:Q372"/>
    <mergeCell ref="R372:S372"/>
    <mergeCell ref="A375:B375"/>
    <mergeCell ref="A457:S457"/>
    <mergeCell ref="A458:S458"/>
    <mergeCell ref="A459:S459"/>
    <mergeCell ref="A461:S461"/>
  </mergeCells>
  <printOptions headings="0" gridLines="0"/>
  <pageMargins left="0.31496099999999999" right="0.31496099999999999" top="0.35433099999999995" bottom="0.35433099999999995" header="0.31496099999999999" footer="0.31496099999999999"/>
  <pageSetup paperSize="8" scale="33" firstPageNumber="1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90" workbookViewId="0">
      <pane xSplit="3" ySplit="2" topLeftCell="D3" activePane="bottomRight" state="frozen"/>
      <selection activeCell="H73" activeCellId="0" sqref="H73"/>
    </sheetView>
  </sheetViews>
  <sheetFormatPr baseColWidth="8" defaultRowHeight="15" customHeight="1"/>
  <cols>
    <col customWidth="1" min="1" max="1" width="6"/>
    <col customWidth="1" min="2" max="2" width="39.425800000000002"/>
    <col customWidth="1" min="4" max="4" width="10.425800000000001"/>
    <col customWidth="1" min="5" max="5" width="10.2852"/>
    <col customWidth="1" min="6" max="6" width="16.140599999999999"/>
    <col customWidth="1" min="7" max="7" width="11"/>
    <col customWidth="1" min="8" max="9" width="10.855499999999999"/>
    <col customWidth="1" min="10" max="11" width="10.425800000000001"/>
  </cols>
  <sheetData>
    <row r="1" s="537" customFormat="1" ht="49.5" customHeight="1">
      <c r="D1" s="538" t="s">
        <v>999</v>
      </c>
      <c r="E1" s="538" t="s">
        <v>1000</v>
      </c>
      <c r="F1" s="538" t="s">
        <v>1001</v>
      </c>
      <c r="G1" s="538" t="s">
        <v>1002</v>
      </c>
      <c r="H1" s="538" t="s">
        <v>1003</v>
      </c>
      <c r="I1" s="538" t="s">
        <v>1004</v>
      </c>
      <c r="J1" s="538" t="s">
        <v>1005</v>
      </c>
      <c r="K1" s="538" t="s">
        <v>1006</v>
      </c>
    </row>
    <row r="2" ht="15.75">
      <c r="A2" s="539" t="s">
        <v>17</v>
      </c>
      <c r="B2" s="540" t="s">
        <v>1007</v>
      </c>
      <c r="C2" s="541" t="s">
        <v>1008</v>
      </c>
      <c r="D2" s="542">
        <v>390804.63049000001</v>
      </c>
      <c r="E2" s="542">
        <v>427395.99913000001</v>
      </c>
      <c r="F2" s="542">
        <v>547271.76001905091</v>
      </c>
      <c r="G2" s="542">
        <v>466234.73279855994</v>
      </c>
      <c r="H2" s="542">
        <v>465272.59175792662</v>
      </c>
      <c r="I2" s="542">
        <v>515880.55097001744</v>
      </c>
      <c r="J2" s="542">
        <v>514816.26234154933</v>
      </c>
      <c r="K2" s="542">
        <v>545212.51286033448</v>
      </c>
    </row>
    <row r="3" ht="15">
      <c r="A3" s="543" t="s">
        <v>110</v>
      </c>
      <c r="B3" s="544" t="s">
        <v>1009</v>
      </c>
      <c r="C3" s="545" t="s">
        <v>1008</v>
      </c>
      <c r="D3" s="546">
        <v>3938.0501599999998</v>
      </c>
      <c r="E3" s="546">
        <v>5184.8203300000005</v>
      </c>
      <c r="F3" s="546">
        <v>3648.71</v>
      </c>
      <c r="G3" s="547">
        <v>3885.8761500000001</v>
      </c>
      <c r="H3" s="547">
        <v>3860.33518</v>
      </c>
      <c r="I3" s="547">
        <v>4099.5993382500001</v>
      </c>
      <c r="J3" s="547">
        <v>4072.6536148999999</v>
      </c>
      <c r="K3" s="547">
        <v>4296.6495637194994</v>
      </c>
    </row>
    <row r="4" ht="15">
      <c r="A4" s="543" t="s">
        <v>125</v>
      </c>
      <c r="B4" s="544" t="s">
        <v>1010</v>
      </c>
      <c r="C4" s="545" t="s">
        <v>1008</v>
      </c>
      <c r="D4" s="548">
        <v>0</v>
      </c>
      <c r="E4" s="549">
        <v>0</v>
      </c>
      <c r="F4" s="548">
        <v>0</v>
      </c>
      <c r="G4" s="547"/>
      <c r="H4" s="547"/>
      <c r="I4" s="547"/>
      <c r="J4" s="547"/>
      <c r="K4" s="547"/>
    </row>
    <row r="5" ht="21">
      <c r="A5" s="543" t="s">
        <v>133</v>
      </c>
      <c r="B5" s="550" t="s">
        <v>1011</v>
      </c>
      <c r="C5" s="551" t="s">
        <v>1008</v>
      </c>
      <c r="D5" s="552">
        <v>330.47184000000004</v>
      </c>
      <c r="E5" s="552">
        <v>550.64852999999994</v>
      </c>
      <c r="F5" s="553">
        <v>12156</v>
      </c>
      <c r="G5" s="554"/>
      <c r="H5" s="554"/>
      <c r="I5" s="554"/>
      <c r="J5" s="554"/>
      <c r="K5" s="554"/>
    </row>
    <row r="6" ht="21">
      <c r="A6" s="543" t="s">
        <v>135</v>
      </c>
      <c r="B6" s="550" t="s">
        <v>1012</v>
      </c>
      <c r="C6" s="551" t="s">
        <v>1008</v>
      </c>
      <c r="D6" s="552">
        <v>0</v>
      </c>
      <c r="E6" s="552">
        <v>0</v>
      </c>
      <c r="F6" s="553">
        <v>117481.56</v>
      </c>
      <c r="G6" s="554">
        <v>0</v>
      </c>
      <c r="H6" s="554"/>
      <c r="I6" s="554">
        <v>0</v>
      </c>
      <c r="J6" s="554"/>
      <c r="K6" s="554"/>
    </row>
    <row r="7" ht="21">
      <c r="A7" s="543" t="s">
        <v>137</v>
      </c>
      <c r="B7" s="550" t="s">
        <v>1013</v>
      </c>
      <c r="C7" s="551" t="s">
        <v>1008</v>
      </c>
      <c r="D7" s="552">
        <v>0</v>
      </c>
      <c r="E7" s="552">
        <v>0</v>
      </c>
      <c r="F7" s="552">
        <v>117481.56</v>
      </c>
      <c r="G7" s="554">
        <v>0</v>
      </c>
      <c r="H7" s="554"/>
      <c r="I7" s="554">
        <v>0</v>
      </c>
      <c r="J7" s="554"/>
      <c r="K7" s="554"/>
    </row>
    <row r="8" ht="15">
      <c r="A8" s="543" t="s">
        <v>139</v>
      </c>
      <c r="B8" s="550" t="s">
        <v>1014</v>
      </c>
      <c r="C8" s="551" t="s">
        <v>1008</v>
      </c>
      <c r="D8" s="552">
        <v>0</v>
      </c>
      <c r="E8" s="552">
        <v>0</v>
      </c>
      <c r="F8" s="552">
        <v>0</v>
      </c>
      <c r="G8" s="554"/>
      <c r="H8" s="554"/>
      <c r="I8" s="554"/>
      <c r="J8" s="554"/>
      <c r="K8" s="554"/>
    </row>
    <row r="9" ht="15">
      <c r="A9" s="543" t="s">
        <v>363</v>
      </c>
      <c r="B9" s="550" t="s">
        <v>1015</v>
      </c>
      <c r="C9" s="551" t="s">
        <v>1008</v>
      </c>
      <c r="D9" s="552">
        <v>0</v>
      </c>
      <c r="E9" s="552">
        <v>0</v>
      </c>
      <c r="F9" s="552">
        <v>0</v>
      </c>
      <c r="G9" s="554"/>
      <c r="H9" s="554"/>
      <c r="I9" s="554"/>
      <c r="J9" s="554"/>
      <c r="K9" s="554"/>
    </row>
    <row r="10" ht="15">
      <c r="A10" s="543" t="s">
        <v>1016</v>
      </c>
      <c r="B10" s="550" t="s">
        <v>1017</v>
      </c>
      <c r="C10" s="551" t="s">
        <v>1008</v>
      </c>
      <c r="D10" s="552">
        <v>0</v>
      </c>
      <c r="E10" s="552">
        <v>0</v>
      </c>
      <c r="F10" s="552">
        <v>0</v>
      </c>
      <c r="G10" s="554"/>
      <c r="H10" s="554"/>
      <c r="I10" s="554"/>
      <c r="J10" s="554"/>
      <c r="K10" s="554"/>
    </row>
    <row r="11" ht="21">
      <c r="A11" s="543" t="s">
        <v>1018</v>
      </c>
      <c r="B11" s="550" t="s">
        <v>1019</v>
      </c>
      <c r="C11" s="551" t="s">
        <v>1008</v>
      </c>
      <c r="D11" s="552">
        <v>1465.0346999999999</v>
      </c>
      <c r="E11" s="552">
        <v>825.70802000000003</v>
      </c>
      <c r="F11" s="552">
        <v>0</v>
      </c>
      <c r="G11" s="554"/>
      <c r="H11" s="554"/>
      <c r="I11" s="554"/>
      <c r="J11" s="554"/>
      <c r="K11" s="554"/>
    </row>
    <row r="12" ht="22.5">
      <c r="A12" s="543" t="s">
        <v>1020</v>
      </c>
      <c r="B12" s="550" t="s">
        <v>1021</v>
      </c>
      <c r="C12" s="551" t="s">
        <v>1008</v>
      </c>
      <c r="D12" s="552">
        <v>0</v>
      </c>
      <c r="E12" s="552">
        <v>0</v>
      </c>
      <c r="F12" s="552">
        <v>0</v>
      </c>
      <c r="G12" s="554"/>
      <c r="H12" s="554"/>
      <c r="I12" s="554"/>
      <c r="J12" s="554"/>
      <c r="K12" s="554"/>
    </row>
    <row r="13" ht="42">
      <c r="A13" s="555" t="s">
        <v>1022</v>
      </c>
      <c r="B13" s="556" t="s">
        <v>1023</v>
      </c>
      <c r="C13" s="557" t="s">
        <v>1008</v>
      </c>
      <c r="D13" s="553">
        <v>2409</v>
      </c>
      <c r="E13" s="553">
        <v>4407</v>
      </c>
      <c r="F13" s="553">
        <v>0</v>
      </c>
      <c r="G13" s="554"/>
      <c r="H13" s="554"/>
      <c r="I13" s="554"/>
      <c r="J13" s="554"/>
      <c r="K13" s="554"/>
    </row>
    <row r="14" ht="21">
      <c r="A14" s="558" t="s">
        <v>1024</v>
      </c>
      <c r="B14" s="550" t="s">
        <v>1025</v>
      </c>
      <c r="C14" s="551" t="s">
        <v>1008</v>
      </c>
      <c r="D14" s="552">
        <v>2409</v>
      </c>
      <c r="E14" s="552">
        <v>4407</v>
      </c>
      <c r="F14" s="552">
        <v>0</v>
      </c>
      <c r="G14" s="554"/>
      <c r="H14" s="554"/>
      <c r="I14" s="554"/>
      <c r="J14" s="554"/>
      <c r="K14" s="554"/>
    </row>
    <row r="15" ht="15">
      <c r="A15" s="543" t="s">
        <v>1026</v>
      </c>
      <c r="B15" s="550" t="s">
        <v>1027</v>
      </c>
      <c r="C15" s="551" t="s">
        <v>1008</v>
      </c>
      <c r="D15" s="552">
        <v>608.13585</v>
      </c>
      <c r="E15" s="552">
        <v>606.01379999999995</v>
      </c>
      <c r="F15" s="552">
        <v>581.73000000000002</v>
      </c>
      <c r="G15" s="554">
        <v>569.60000000000002</v>
      </c>
      <c r="H15" s="547">
        <v>615.47034000000008</v>
      </c>
      <c r="I15" s="554">
        <v>569.60000000000002</v>
      </c>
      <c r="J15" s="547">
        <v>649.32120870000006</v>
      </c>
      <c r="K15" s="547">
        <v>685.03387517850001</v>
      </c>
    </row>
    <row r="16" ht="15">
      <c r="A16" s="543" t="s">
        <v>1028</v>
      </c>
      <c r="B16" s="544" t="s">
        <v>1029</v>
      </c>
      <c r="C16" s="545" t="s">
        <v>1008</v>
      </c>
      <c r="D16" s="548">
        <v>11.017569999999999</v>
      </c>
      <c r="E16" s="548">
        <v>15.316139999999999</v>
      </c>
      <c r="F16" s="548">
        <v>0</v>
      </c>
      <c r="G16" s="547"/>
      <c r="H16" s="547"/>
      <c r="I16" s="547"/>
      <c r="J16" s="547"/>
      <c r="K16" s="547"/>
    </row>
    <row r="17" ht="15">
      <c r="A17" s="543" t="s">
        <v>1030</v>
      </c>
      <c r="B17" s="544" t="s">
        <v>1031</v>
      </c>
      <c r="C17" s="545" t="s">
        <v>1008</v>
      </c>
      <c r="D17" s="548">
        <v>29879.892759999999</v>
      </c>
      <c r="E17" s="548">
        <v>29427.63435</v>
      </c>
      <c r="F17" s="548">
        <v>10800</v>
      </c>
      <c r="G17" s="547">
        <v>11502</v>
      </c>
      <c r="H17" s="547">
        <v>11426.400000000001</v>
      </c>
      <c r="I17" s="547">
        <v>12134.609999999999</v>
      </c>
      <c r="J17" s="547">
        <v>12054.852000000001</v>
      </c>
      <c r="K17" s="547">
        <v>12717.86886</v>
      </c>
    </row>
    <row r="18" ht="15">
      <c r="A18" s="559" t="s">
        <v>1032</v>
      </c>
      <c r="B18" s="560" t="s">
        <v>1033</v>
      </c>
      <c r="C18" s="561" t="s">
        <v>1008</v>
      </c>
      <c r="D18" s="562">
        <v>281338.75399999996</v>
      </c>
      <c r="E18" s="562">
        <v>284594.78214999998</v>
      </c>
      <c r="F18" s="562">
        <v>295224.75850000011</v>
      </c>
      <c r="G18" s="563">
        <v>335918.62003077089</v>
      </c>
      <c r="H18" s="563">
        <v>335918.62003077089</v>
      </c>
      <c r="I18" s="563">
        <v>378428.38</v>
      </c>
      <c r="J18" s="563">
        <v>378428.38</v>
      </c>
      <c r="K18" s="547">
        <v>401323.29699</v>
      </c>
    </row>
    <row r="19" ht="15">
      <c r="A19" s="559" t="s">
        <v>1034</v>
      </c>
      <c r="B19" s="560" t="s">
        <v>1035</v>
      </c>
      <c r="C19" s="561" t="s">
        <v>1008</v>
      </c>
      <c r="D19" s="562">
        <v>62543.19872</v>
      </c>
      <c r="E19" s="562">
        <v>98287.911109999986</v>
      </c>
      <c r="F19" s="562">
        <v>99618.131519050774</v>
      </c>
      <c r="G19" s="563">
        <v>106093.31006778908</v>
      </c>
      <c r="H19" s="563">
        <v>105395.98314715573</v>
      </c>
      <c r="I19" s="563">
        <v>111928.44212151747</v>
      </c>
      <c r="J19" s="563">
        <v>111192.76222024928</v>
      </c>
      <c r="K19" s="547">
        <v>117308.36414236299</v>
      </c>
    </row>
    <row r="20" ht="15">
      <c r="A20" s="543" t="s">
        <v>1036</v>
      </c>
      <c r="B20" s="544" t="s">
        <v>1037</v>
      </c>
      <c r="C20" s="545" t="s">
        <v>1008</v>
      </c>
      <c r="D20" s="548">
        <v>0</v>
      </c>
      <c r="E20" s="548">
        <v>0</v>
      </c>
      <c r="F20" s="548">
        <v>0</v>
      </c>
      <c r="G20" s="564">
        <v>0</v>
      </c>
      <c r="H20" s="564">
        <v>0</v>
      </c>
      <c r="I20" s="564">
        <v>0</v>
      </c>
      <c r="J20" s="564">
        <v>0</v>
      </c>
      <c r="K20" s="564">
        <v>0</v>
      </c>
    </row>
    <row r="21" ht="15.75">
      <c r="A21" s="543" t="s">
        <v>1038</v>
      </c>
      <c r="B21" s="544" t="s">
        <v>1039</v>
      </c>
      <c r="C21" s="545" t="s">
        <v>1008</v>
      </c>
      <c r="D21" s="565">
        <v>8281.0748899999999</v>
      </c>
      <c r="E21" s="565">
        <v>3496.1647000000003</v>
      </c>
      <c r="F21" s="565">
        <v>7760.8699999999999</v>
      </c>
      <c r="G21" s="564">
        <v>8265.3265499999998</v>
      </c>
      <c r="H21" s="564">
        <v>8055.7830599999998</v>
      </c>
      <c r="I21" s="564">
        <v>8719.9195102499998</v>
      </c>
      <c r="J21" s="564">
        <v>8418.2932977</v>
      </c>
      <c r="K21" s="564">
        <v>8881.2994290734987</v>
      </c>
    </row>
    <row r="22" ht="15.75">
      <c r="A22" s="566" t="s">
        <v>23</v>
      </c>
      <c r="B22" s="540" t="s">
        <v>1040</v>
      </c>
      <c r="C22" s="567" t="s">
        <v>1008</v>
      </c>
      <c r="D22" s="568">
        <v>129361.59715000002</v>
      </c>
      <c r="E22" s="568">
        <v>154307.46044</v>
      </c>
      <c r="F22" s="568">
        <v>293793.22389695089</v>
      </c>
      <c r="G22" s="568">
        <v>167665.74582555276</v>
      </c>
      <c r="H22" s="568">
        <v>166578.19102897611</v>
      </c>
      <c r="I22" s="568">
        <v>175603.99244595805</v>
      </c>
      <c r="J22" s="568">
        <v>171423.18439833156</v>
      </c>
      <c r="K22" s="568">
        <v>172860.92204023979</v>
      </c>
    </row>
    <row r="23" ht="15">
      <c r="A23" s="569" t="s">
        <v>143</v>
      </c>
      <c r="B23" s="544" t="s">
        <v>1041</v>
      </c>
      <c r="C23" s="545" t="s">
        <v>1008</v>
      </c>
      <c r="D23" s="570">
        <v>9449.9999700000008</v>
      </c>
      <c r="E23" s="570">
        <v>11317.001940000002</v>
      </c>
      <c r="F23" s="570">
        <v>31952.114379999999</v>
      </c>
      <c r="G23" s="547">
        <v>24378.75</v>
      </c>
      <c r="H23" s="547">
        <v>24378.75</v>
      </c>
      <c r="I23" s="547">
        <v>24378.75</v>
      </c>
      <c r="J23" s="547">
        <v>21532.5</v>
      </c>
      <c r="K23" s="547">
        <v>14726.25</v>
      </c>
    </row>
    <row r="24" ht="15">
      <c r="A24" s="569" t="s">
        <v>145</v>
      </c>
      <c r="B24" s="544" t="s">
        <v>1010</v>
      </c>
      <c r="C24" s="545" t="s">
        <v>1008</v>
      </c>
      <c r="D24" s="548">
        <v>0</v>
      </c>
      <c r="E24" s="549">
        <v>0</v>
      </c>
      <c r="F24" s="548">
        <v>0</v>
      </c>
      <c r="G24" s="547"/>
      <c r="H24" s="547"/>
      <c r="I24" s="547"/>
      <c r="J24" s="547"/>
      <c r="K24" s="547"/>
    </row>
    <row r="25" ht="21">
      <c r="A25" s="569" t="s">
        <v>147</v>
      </c>
      <c r="B25" s="550" t="s">
        <v>1042</v>
      </c>
      <c r="C25" s="551" t="s">
        <v>1008</v>
      </c>
      <c r="D25" s="552">
        <v>345.75536</v>
      </c>
      <c r="E25" s="552">
        <v>231.20609999999999</v>
      </c>
      <c r="F25" s="553">
        <v>12156</v>
      </c>
      <c r="G25" s="554"/>
      <c r="H25" s="554"/>
      <c r="I25" s="554"/>
      <c r="J25" s="554"/>
      <c r="K25" s="554"/>
    </row>
    <row r="26" ht="21">
      <c r="A26" s="569" t="s">
        <v>149</v>
      </c>
      <c r="B26" s="550" t="s">
        <v>1012</v>
      </c>
      <c r="C26" s="551" t="s">
        <v>1008</v>
      </c>
      <c r="D26" s="552">
        <v>0</v>
      </c>
      <c r="E26" s="552">
        <v>0</v>
      </c>
      <c r="F26" s="553">
        <v>115178</v>
      </c>
      <c r="G26" s="554">
        <v>0</v>
      </c>
      <c r="H26" s="554"/>
      <c r="I26" s="554">
        <v>0</v>
      </c>
      <c r="J26" s="554"/>
      <c r="K26" s="554"/>
    </row>
    <row r="27" ht="21">
      <c r="A27" s="569" t="s">
        <v>1043</v>
      </c>
      <c r="B27" s="550" t="s">
        <v>1013</v>
      </c>
      <c r="C27" s="551" t="s">
        <v>1008</v>
      </c>
      <c r="D27" s="552">
        <v>0</v>
      </c>
      <c r="E27" s="552">
        <v>0</v>
      </c>
      <c r="F27" s="552">
        <v>115178</v>
      </c>
      <c r="G27" s="554">
        <v>0</v>
      </c>
      <c r="H27" s="554"/>
      <c r="I27" s="554">
        <v>0</v>
      </c>
      <c r="J27" s="554"/>
      <c r="K27" s="554"/>
    </row>
    <row r="28" ht="21">
      <c r="A28" s="569" t="s">
        <v>155</v>
      </c>
      <c r="B28" s="550" t="s">
        <v>1044</v>
      </c>
      <c r="C28" s="551" t="s">
        <v>1008</v>
      </c>
      <c r="D28" s="552">
        <v>0</v>
      </c>
      <c r="E28" s="552">
        <v>0</v>
      </c>
      <c r="F28" s="552">
        <v>0</v>
      </c>
      <c r="G28" s="554"/>
      <c r="H28" s="554"/>
      <c r="I28" s="554"/>
      <c r="J28" s="554"/>
      <c r="K28" s="554"/>
    </row>
    <row r="29" ht="21">
      <c r="A29" s="569" t="s">
        <v>417</v>
      </c>
      <c r="B29" s="550" t="s">
        <v>1025</v>
      </c>
      <c r="C29" s="551" t="s">
        <v>1008</v>
      </c>
      <c r="D29" s="552">
        <v>0</v>
      </c>
      <c r="E29" s="552">
        <v>0</v>
      </c>
      <c r="F29" s="552">
        <v>0</v>
      </c>
      <c r="G29" s="554"/>
      <c r="H29" s="554"/>
      <c r="I29" s="554"/>
      <c r="J29" s="554"/>
      <c r="K29" s="554"/>
    </row>
    <row r="30" ht="15">
      <c r="A30" s="569" t="s">
        <v>157</v>
      </c>
      <c r="B30" s="550" t="s">
        <v>1014</v>
      </c>
      <c r="C30" s="551" t="s">
        <v>1008</v>
      </c>
      <c r="D30" s="552">
        <v>0</v>
      </c>
      <c r="E30" s="552">
        <v>0</v>
      </c>
      <c r="F30" s="552">
        <v>0</v>
      </c>
      <c r="G30" s="554"/>
      <c r="H30" s="554"/>
      <c r="I30" s="554"/>
      <c r="J30" s="554"/>
      <c r="K30" s="554"/>
    </row>
    <row r="31" ht="15">
      <c r="A31" s="569" t="s">
        <v>159</v>
      </c>
      <c r="B31" s="550" t="s">
        <v>1045</v>
      </c>
      <c r="C31" s="551" t="s">
        <v>1008</v>
      </c>
      <c r="D31" s="552">
        <v>36.064</v>
      </c>
      <c r="E31" s="552">
        <v>88.131</v>
      </c>
      <c r="F31" s="552">
        <v>88.212000000000003</v>
      </c>
      <c r="G31" s="564">
        <v>130.87</v>
      </c>
      <c r="H31" s="564">
        <v>93.328296000000009</v>
      </c>
      <c r="I31" s="564">
        <v>195.53</v>
      </c>
      <c r="J31" s="564">
        <v>98.46135228</v>
      </c>
      <c r="K31" s="564">
        <v>103.87672665539999</v>
      </c>
    </row>
    <row r="32" ht="15">
      <c r="A32" s="569" t="s">
        <v>380</v>
      </c>
      <c r="B32" s="550" t="s">
        <v>1046</v>
      </c>
      <c r="C32" s="551" t="s">
        <v>1008</v>
      </c>
      <c r="D32" s="552">
        <v>483.54414000000003</v>
      </c>
      <c r="E32" s="552">
        <v>338.79532999999998</v>
      </c>
      <c r="F32" s="571">
        <v>516.23900000000003</v>
      </c>
      <c r="G32" s="554">
        <v>549.794535</v>
      </c>
      <c r="H32" s="547">
        <v>546.18086200000005</v>
      </c>
      <c r="I32" s="554">
        <v>580.03323442499993</v>
      </c>
      <c r="J32" s="547">
        <v>576.22080941000002</v>
      </c>
      <c r="K32" s="547">
        <v>607.91295392755001</v>
      </c>
    </row>
    <row r="33" ht="15">
      <c r="A33" s="572" t="s">
        <v>383</v>
      </c>
      <c r="B33" s="573" t="s">
        <v>1047</v>
      </c>
      <c r="C33" s="574" t="s">
        <v>1008</v>
      </c>
      <c r="D33" s="575">
        <v>89468.491589999991</v>
      </c>
      <c r="E33" s="575">
        <v>110312.60970999999</v>
      </c>
      <c r="F33" s="575">
        <v>110618.13151905069</v>
      </c>
      <c r="G33" s="576">
        <v>117808.31006778897</v>
      </c>
      <c r="H33" s="563">
        <v>117033.98314715564</v>
      </c>
      <c r="I33" s="576">
        <v>124287.76712151736</v>
      </c>
      <c r="J33" s="563">
        <v>123470.85222024919</v>
      </c>
      <c r="K33" s="547">
        <v>130261.74909236288</v>
      </c>
    </row>
    <row r="34" ht="15">
      <c r="A34" s="569" t="s">
        <v>1048</v>
      </c>
      <c r="B34" s="550" t="s">
        <v>1049</v>
      </c>
      <c r="C34" s="551" t="s">
        <v>1008</v>
      </c>
      <c r="D34" s="552">
        <v>0</v>
      </c>
      <c r="E34" s="552">
        <v>0</v>
      </c>
      <c r="F34" s="552">
        <v>0</v>
      </c>
      <c r="G34" s="554">
        <v>0</v>
      </c>
      <c r="H34" s="554"/>
      <c r="I34" s="554">
        <v>0</v>
      </c>
      <c r="J34" s="554"/>
      <c r="K34" s="554"/>
    </row>
    <row r="35" ht="21">
      <c r="A35" s="569" t="s">
        <v>1050</v>
      </c>
      <c r="B35" s="550" t="s">
        <v>1051</v>
      </c>
      <c r="C35" s="551" t="s">
        <v>1008</v>
      </c>
      <c r="D35" s="552">
        <v>3.8247</v>
      </c>
      <c r="E35" s="552">
        <v>795.41522999999995</v>
      </c>
      <c r="F35" s="577">
        <v>0</v>
      </c>
      <c r="G35" s="554">
        <v>0</v>
      </c>
      <c r="H35" s="554"/>
      <c r="I35" s="554">
        <v>0</v>
      </c>
      <c r="J35" s="554"/>
      <c r="K35" s="554"/>
    </row>
    <row r="36" ht="21">
      <c r="A36" s="569" t="s">
        <v>1052</v>
      </c>
      <c r="B36" s="578" t="s">
        <v>1019</v>
      </c>
      <c r="C36" s="551" t="s">
        <v>1008</v>
      </c>
      <c r="D36" s="552">
        <v>483.41481999999996</v>
      </c>
      <c r="E36" s="552">
        <v>1615.1221399999999</v>
      </c>
      <c r="F36" s="571">
        <v>120</v>
      </c>
      <c r="G36" s="554">
        <v>127.8</v>
      </c>
      <c r="H36" s="547">
        <v>126.96000000000001</v>
      </c>
      <c r="I36" s="554">
        <v>134.82899999999998</v>
      </c>
      <c r="J36" s="547">
        <v>133.94280000000001</v>
      </c>
      <c r="K36" s="547">
        <v>141.30965399999999</v>
      </c>
    </row>
    <row r="37" ht="22.5">
      <c r="A37" s="569" t="s">
        <v>1053</v>
      </c>
      <c r="B37" s="550" t="s">
        <v>1054</v>
      </c>
      <c r="C37" s="551" t="s">
        <v>1008</v>
      </c>
      <c r="D37" s="552">
        <v>12.321870000000001</v>
      </c>
      <c r="E37" s="552">
        <v>52.156999999999996</v>
      </c>
      <c r="F37" s="552">
        <v>0</v>
      </c>
      <c r="G37" s="554">
        <v>0</v>
      </c>
      <c r="H37" s="554"/>
      <c r="I37" s="554">
        <v>0</v>
      </c>
      <c r="J37" s="554"/>
      <c r="K37" s="554"/>
    </row>
    <row r="38" ht="15">
      <c r="A38" s="569" t="s">
        <v>1055</v>
      </c>
      <c r="B38" s="579" t="s">
        <v>1031</v>
      </c>
      <c r="C38" s="551" t="s">
        <v>1008</v>
      </c>
      <c r="D38" s="552">
        <v>16237.609890000002</v>
      </c>
      <c r="E38" s="552">
        <v>15938.939870000002</v>
      </c>
      <c r="F38" s="552">
        <v>10666.849999999999</v>
      </c>
      <c r="G38" s="554">
        <v>11360.195249999997</v>
      </c>
      <c r="H38" s="547">
        <v>11426.400000000001</v>
      </c>
      <c r="I38" s="554">
        <v>11985.005988749996</v>
      </c>
      <c r="J38" s="547">
        <v>12054.852000000001</v>
      </c>
      <c r="K38" s="547">
        <v>12717.86886</v>
      </c>
    </row>
    <row r="39" ht="15">
      <c r="A39" s="572" t="s">
        <v>1056</v>
      </c>
      <c r="B39" s="580" t="s">
        <v>1057</v>
      </c>
      <c r="C39" s="581" t="s">
        <v>1008</v>
      </c>
      <c r="D39" s="562">
        <v>2018.1547700000001</v>
      </c>
      <c r="E39" s="562">
        <v>2410.46821</v>
      </c>
      <c r="F39" s="562">
        <v>3814.0000000000005</v>
      </c>
      <c r="G39" s="582">
        <v>4061.9099999999999</v>
      </c>
      <c r="H39" s="582">
        <v>3958.9320000000007</v>
      </c>
      <c r="I39" s="582">
        <v>4285.3150499999992</v>
      </c>
      <c r="J39" s="582">
        <v>4137.0839399999995</v>
      </c>
      <c r="K39" s="583">
        <v>4364.6235566999994</v>
      </c>
    </row>
    <row r="40" ht="21">
      <c r="A40" s="569" t="s">
        <v>1058</v>
      </c>
      <c r="B40" s="584" t="s">
        <v>1059</v>
      </c>
      <c r="C40" s="585" t="s">
        <v>1008</v>
      </c>
      <c r="D40" s="548">
        <v>0</v>
      </c>
      <c r="E40" s="548">
        <v>0</v>
      </c>
      <c r="F40" s="548">
        <v>0</v>
      </c>
      <c r="G40" s="583">
        <v>0</v>
      </c>
      <c r="H40" s="583">
        <v>0</v>
      </c>
      <c r="I40" s="583">
        <v>0</v>
      </c>
      <c r="J40" s="583">
        <v>0</v>
      </c>
      <c r="K40" s="583">
        <v>0</v>
      </c>
    </row>
    <row r="41" ht="15">
      <c r="A41" s="569" t="s">
        <v>1060</v>
      </c>
      <c r="B41" s="584" t="s">
        <v>1061</v>
      </c>
      <c r="C41" s="585" t="s">
        <v>1008</v>
      </c>
      <c r="D41" s="548">
        <v>0</v>
      </c>
      <c r="E41" s="548">
        <v>0</v>
      </c>
      <c r="F41" s="548">
        <v>0</v>
      </c>
      <c r="G41" s="583">
        <v>0</v>
      </c>
      <c r="H41" s="583">
        <v>0</v>
      </c>
      <c r="I41" s="583">
        <v>0</v>
      </c>
      <c r="J41" s="583">
        <v>0</v>
      </c>
      <c r="K41" s="583">
        <v>0</v>
      </c>
    </row>
    <row r="42" ht="15">
      <c r="A42" s="586" t="s">
        <v>1062</v>
      </c>
      <c r="B42" s="587" t="s">
        <v>1063</v>
      </c>
      <c r="C42" s="588" t="s">
        <v>1008</v>
      </c>
      <c r="D42" s="589">
        <v>3419.7135800000106</v>
      </c>
      <c r="E42" s="549">
        <v>2611.1251950000151</v>
      </c>
      <c r="F42" s="589">
        <v>3865.067022900228</v>
      </c>
      <c r="G42" s="590">
        <v>4116.2963793887757</v>
      </c>
      <c r="H42" s="590">
        <v>4011.9395697704749</v>
      </c>
      <c r="I42" s="590">
        <v>4342.6926802551025</v>
      </c>
      <c r="J42" s="590">
        <v>4192.4768504101085</v>
      </c>
      <c r="K42" s="583">
        <v>4423.0630771826836</v>
      </c>
    </row>
    <row r="43" ht="15">
      <c r="A43" s="569" t="s">
        <v>1064</v>
      </c>
      <c r="B43" s="584" t="s">
        <v>1065</v>
      </c>
      <c r="C43" s="585" t="s">
        <v>1008</v>
      </c>
      <c r="D43" s="548">
        <v>0</v>
      </c>
      <c r="E43" s="548">
        <v>0</v>
      </c>
      <c r="F43" s="548">
        <v>0</v>
      </c>
      <c r="G43" s="583">
        <v>0</v>
      </c>
      <c r="H43" s="583">
        <v>0</v>
      </c>
      <c r="I43" s="583">
        <v>0</v>
      </c>
      <c r="J43" s="583">
        <v>0</v>
      </c>
      <c r="K43" s="583">
        <v>0</v>
      </c>
    </row>
    <row r="44" ht="21">
      <c r="A44" s="569" t="s">
        <v>1066</v>
      </c>
      <c r="B44" s="584" t="s">
        <v>1067</v>
      </c>
      <c r="C44" s="551" t="s">
        <v>1008</v>
      </c>
      <c r="D44" s="552">
        <v>915.06000000000006</v>
      </c>
      <c r="E44" s="552">
        <v>1017.2386000000001</v>
      </c>
      <c r="F44" s="552">
        <v>1227.662</v>
      </c>
      <c r="G44" s="554">
        <v>1307.46</v>
      </c>
      <c r="H44" s="554">
        <v>1274.3131560000002</v>
      </c>
      <c r="I44" s="554">
        <v>1379.3699999999999</v>
      </c>
      <c r="J44" s="554">
        <v>1331.65724802</v>
      </c>
      <c r="K44" s="554">
        <v>1404.8983966610999</v>
      </c>
    </row>
    <row r="45" ht="21">
      <c r="A45" s="569" t="s">
        <v>1068</v>
      </c>
      <c r="B45" s="584" t="s">
        <v>1069</v>
      </c>
      <c r="C45" s="545" t="s">
        <v>1008</v>
      </c>
      <c r="D45" s="548">
        <v>161.35196000000002</v>
      </c>
      <c r="E45" s="548">
        <v>255.84360000000001</v>
      </c>
      <c r="F45" s="548">
        <v>303.55199999999996</v>
      </c>
      <c r="G45" s="547">
        <v>323.28287999999992</v>
      </c>
      <c r="H45" s="547">
        <v>315.08697599999999</v>
      </c>
      <c r="I45" s="547">
        <v>341.06343839999988</v>
      </c>
      <c r="J45" s="547">
        <v>329.26588991999995</v>
      </c>
      <c r="K45" s="547">
        <v>347.37551386559994</v>
      </c>
    </row>
    <row r="46" ht="22.5">
      <c r="A46" s="569" t="s">
        <v>1070</v>
      </c>
      <c r="B46" s="584" t="s">
        <v>1071</v>
      </c>
      <c r="C46" s="545" t="s">
        <v>1008</v>
      </c>
      <c r="D46" s="548">
        <v>270.86340000000001</v>
      </c>
      <c r="E46" s="548">
        <v>1108.5923</v>
      </c>
      <c r="F46" s="548">
        <v>718.626982</v>
      </c>
      <c r="G46" s="547">
        <v>765.33773582999993</v>
      </c>
      <c r="H46" s="547">
        <v>745.93480731600005</v>
      </c>
      <c r="I46" s="547">
        <v>807.4313113006499</v>
      </c>
      <c r="J46" s="547">
        <v>779.50187364522003</v>
      </c>
      <c r="K46" s="547">
        <v>822.37447669570713</v>
      </c>
    </row>
    <row r="47" ht="15">
      <c r="A47" s="569" t="s">
        <v>1072</v>
      </c>
      <c r="B47" s="584" t="s">
        <v>1073</v>
      </c>
      <c r="C47" s="585" t="s">
        <v>1008</v>
      </c>
      <c r="D47" s="548">
        <v>6055.4271000000008</v>
      </c>
      <c r="E47" s="548">
        <v>6214.8142149999558</v>
      </c>
      <c r="F47" s="548">
        <v>2568.7689930000001</v>
      </c>
      <c r="G47" s="583">
        <v>2735.7389775450001</v>
      </c>
      <c r="H47" s="583">
        <v>2666.3822147339997</v>
      </c>
      <c r="I47" s="583">
        <v>2886.2046213099748</v>
      </c>
      <c r="J47" s="583">
        <v>2786.3694143970301</v>
      </c>
      <c r="K47" s="583">
        <v>2939.6197321888667</v>
      </c>
    </row>
    <row r="48" ht="22.5">
      <c r="A48" s="591" t="s">
        <v>1074</v>
      </c>
      <c r="B48" s="592" t="s">
        <v>1075</v>
      </c>
      <c r="C48" s="545" t="s">
        <v>1008</v>
      </c>
      <c r="D48" s="548">
        <v>0</v>
      </c>
      <c r="E48" s="548">
        <v>0</v>
      </c>
      <c r="F48" s="548">
        <v>0</v>
      </c>
      <c r="G48" s="546">
        <v>0</v>
      </c>
      <c r="H48" s="546">
        <v>0</v>
      </c>
      <c r="I48" s="546">
        <v>0</v>
      </c>
      <c r="J48" s="546">
        <v>0</v>
      </c>
      <c r="K48" s="546">
        <v>0</v>
      </c>
    </row>
    <row r="49" ht="22.5">
      <c r="A49" s="591" t="s">
        <v>1076</v>
      </c>
      <c r="B49" s="592" t="s">
        <v>1077</v>
      </c>
      <c r="C49" s="545" t="s">
        <v>1008</v>
      </c>
      <c r="D49" s="548">
        <v>0</v>
      </c>
      <c r="E49" s="548">
        <v>0</v>
      </c>
      <c r="F49" s="546">
        <v>0</v>
      </c>
      <c r="G49" s="546">
        <v>0</v>
      </c>
      <c r="H49" s="546">
        <v>0</v>
      </c>
      <c r="I49" s="546">
        <v>0</v>
      </c>
      <c r="J49" s="546">
        <v>0</v>
      </c>
      <c r="K49" s="546">
        <v>0</v>
      </c>
    </row>
    <row r="50" ht="22.5">
      <c r="A50" s="591" t="s">
        <v>1078</v>
      </c>
      <c r="B50" s="592" t="s">
        <v>1079</v>
      </c>
      <c r="C50" s="545" t="s">
        <v>1008</v>
      </c>
      <c r="D50" s="548">
        <v>0</v>
      </c>
      <c r="E50" s="548">
        <v>0</v>
      </c>
      <c r="F50" s="548">
        <v>0</v>
      </c>
      <c r="G50" s="547"/>
      <c r="H50" s="547"/>
      <c r="I50" s="547"/>
      <c r="J50" s="547"/>
      <c r="K50" s="547"/>
    </row>
    <row r="51" ht="22.5">
      <c r="A51" s="591" t="s">
        <v>1080</v>
      </c>
      <c r="B51" s="592" t="s">
        <v>1081</v>
      </c>
      <c r="C51" s="545" t="s">
        <v>1008</v>
      </c>
      <c r="D51" s="548">
        <v>0</v>
      </c>
      <c r="E51" s="548">
        <v>0</v>
      </c>
      <c r="F51" s="548">
        <v>0</v>
      </c>
      <c r="G51" s="547"/>
      <c r="H51" s="547"/>
      <c r="I51" s="547"/>
      <c r="J51" s="547"/>
      <c r="K51" s="547"/>
    </row>
    <row r="52" ht="22.5">
      <c r="A52" s="591" t="s">
        <v>1082</v>
      </c>
      <c r="B52" s="592" t="s">
        <v>1083</v>
      </c>
      <c r="C52" s="545" t="s">
        <v>1008</v>
      </c>
      <c r="D52" s="548">
        <v>0</v>
      </c>
      <c r="E52" s="548">
        <v>0</v>
      </c>
      <c r="F52" s="548">
        <v>0</v>
      </c>
      <c r="G52" s="547"/>
      <c r="H52" s="547"/>
      <c r="I52" s="547"/>
      <c r="J52" s="547"/>
      <c r="K52" s="547"/>
    </row>
    <row r="53" ht="22.5">
      <c r="A53" s="591" t="s">
        <v>1084</v>
      </c>
      <c r="B53" s="592" t="s">
        <v>1085</v>
      </c>
      <c r="C53" s="545" t="s">
        <v>1008</v>
      </c>
      <c r="D53" s="548">
        <v>0</v>
      </c>
      <c r="E53" s="548">
        <v>0</v>
      </c>
      <c r="F53" s="548">
        <v>0</v>
      </c>
      <c r="G53" s="547"/>
      <c r="H53" s="547"/>
      <c r="I53" s="547"/>
      <c r="J53" s="547"/>
      <c r="K53" s="547"/>
    </row>
    <row r="54" ht="22.5">
      <c r="A54" s="591" t="s">
        <v>1086</v>
      </c>
      <c r="B54" s="592" t="s">
        <v>1087</v>
      </c>
      <c r="C54" s="545" t="s">
        <v>1008</v>
      </c>
      <c r="D54" s="548">
        <v>0</v>
      </c>
      <c r="E54" s="548">
        <v>0</v>
      </c>
      <c r="F54" s="548">
        <v>0</v>
      </c>
      <c r="G54" s="547"/>
      <c r="H54" s="547"/>
      <c r="I54" s="547"/>
      <c r="J54" s="547"/>
      <c r="K54" s="547"/>
    </row>
    <row r="55" ht="21">
      <c r="A55" s="591" t="s">
        <v>1088</v>
      </c>
      <c r="B55" s="593" t="s">
        <v>1089</v>
      </c>
      <c r="C55" s="551" t="s">
        <v>1008</v>
      </c>
      <c r="D55" s="548">
        <v>0</v>
      </c>
      <c r="E55" s="548">
        <v>0</v>
      </c>
      <c r="F55" s="548">
        <v>0</v>
      </c>
      <c r="G55" s="547"/>
      <c r="H55" s="547"/>
      <c r="I55" s="547"/>
      <c r="J55" s="547"/>
      <c r="K55" s="547"/>
    </row>
    <row r="56" ht="22.5">
      <c r="A56" s="591" t="s">
        <v>1090</v>
      </c>
      <c r="B56" s="592" t="s">
        <v>1091</v>
      </c>
      <c r="C56" s="545" t="s">
        <v>1008</v>
      </c>
      <c r="D56" s="548">
        <v>0</v>
      </c>
      <c r="E56" s="548">
        <v>0</v>
      </c>
      <c r="F56" s="548">
        <v>0</v>
      </c>
      <c r="G56" s="547"/>
      <c r="H56" s="547"/>
      <c r="I56" s="547"/>
      <c r="J56" s="547"/>
      <c r="K56" s="547"/>
    </row>
    <row r="57" ht="15">
      <c r="A57" s="591" t="s">
        <v>1092</v>
      </c>
      <c r="B57" s="592" t="s">
        <v>1093</v>
      </c>
      <c r="C57" s="545" t="s">
        <v>1008</v>
      </c>
      <c r="D57" s="548">
        <v>0</v>
      </c>
      <c r="E57" s="548">
        <v>0</v>
      </c>
      <c r="F57" s="548">
        <v>75</v>
      </c>
      <c r="G57" s="554">
        <v>79.875</v>
      </c>
      <c r="H57" s="554">
        <v>77.850000000000009</v>
      </c>
      <c r="I57" s="554">
        <v>84.268124999999998</v>
      </c>
      <c r="J57" s="554">
        <v>81.353250000000003</v>
      </c>
      <c r="K57" s="554">
        <v>85.827678750000004</v>
      </c>
    </row>
    <row r="58" ht="15">
      <c r="A58" s="591" t="s">
        <v>1094</v>
      </c>
      <c r="B58" s="592" t="s">
        <v>1095</v>
      </c>
      <c r="C58" s="545" t="s">
        <v>1008</v>
      </c>
      <c r="D58" s="548">
        <v>0</v>
      </c>
      <c r="E58" s="548">
        <v>0</v>
      </c>
      <c r="F58" s="548">
        <v>0</v>
      </c>
      <c r="G58" s="554">
        <v>0</v>
      </c>
      <c r="H58" s="554"/>
      <c r="I58" s="554">
        <v>0</v>
      </c>
      <c r="J58" s="554"/>
      <c r="K58" s="554"/>
    </row>
    <row r="59" ht="15">
      <c r="A59" s="591" t="s">
        <v>1096</v>
      </c>
      <c r="B59" s="592" t="s">
        <v>1097</v>
      </c>
      <c r="C59" s="545" t="s">
        <v>1008</v>
      </c>
      <c r="D59" s="548">
        <v>0</v>
      </c>
      <c r="E59" s="548">
        <v>0</v>
      </c>
      <c r="F59" s="548">
        <v>0</v>
      </c>
      <c r="G59" s="554">
        <v>0</v>
      </c>
      <c r="H59" s="554"/>
      <c r="I59" s="554">
        <v>0</v>
      </c>
      <c r="J59" s="554"/>
      <c r="K59" s="554"/>
    </row>
    <row r="60" ht="15">
      <c r="A60" s="591" t="s">
        <v>1098</v>
      </c>
      <c r="B60" s="592" t="s">
        <v>1099</v>
      </c>
      <c r="C60" s="545" t="s">
        <v>1008</v>
      </c>
      <c r="D60" s="548">
        <v>463.16698999999994</v>
      </c>
      <c r="E60" s="548">
        <v>9.8783599999999989</v>
      </c>
      <c r="F60" s="548">
        <v>80</v>
      </c>
      <c r="G60" s="554">
        <v>85.199999999999989</v>
      </c>
      <c r="H60" s="554">
        <v>83.040000000000006</v>
      </c>
      <c r="I60" s="554">
        <v>89.885999999999981</v>
      </c>
      <c r="J60" s="554">
        <v>86.776799999999994</v>
      </c>
      <c r="K60" s="554">
        <v>91.549523999999991</v>
      </c>
    </row>
    <row r="61" ht="15">
      <c r="A61" s="591" t="s">
        <v>1100</v>
      </c>
      <c r="B61" s="592" t="s">
        <v>1101</v>
      </c>
      <c r="C61" s="545" t="s">
        <v>1008</v>
      </c>
      <c r="D61" s="548">
        <v>295.85536999999999</v>
      </c>
      <c r="E61" s="548">
        <v>736.03590999999994</v>
      </c>
      <c r="F61" s="548">
        <v>120</v>
      </c>
      <c r="G61" s="554">
        <v>127.8</v>
      </c>
      <c r="H61" s="554">
        <v>124.56</v>
      </c>
      <c r="I61" s="554">
        <v>134.82899999999998</v>
      </c>
      <c r="J61" s="554">
        <v>130.1652</v>
      </c>
      <c r="K61" s="554">
        <v>137.324286</v>
      </c>
    </row>
    <row r="62" ht="15">
      <c r="A62" s="591" t="s">
        <v>1102</v>
      </c>
      <c r="B62" s="592" t="s">
        <v>1103</v>
      </c>
      <c r="C62" s="545" t="s">
        <v>1008</v>
      </c>
      <c r="D62" s="548">
        <v>0</v>
      </c>
      <c r="E62" s="548">
        <v>0</v>
      </c>
      <c r="F62" s="548">
        <v>0</v>
      </c>
      <c r="G62" s="546">
        <v>0</v>
      </c>
      <c r="H62" s="546">
        <v>0</v>
      </c>
      <c r="I62" s="546">
        <v>0</v>
      </c>
      <c r="J62" s="546">
        <v>0</v>
      </c>
      <c r="K62" s="546">
        <v>0</v>
      </c>
    </row>
    <row r="63" ht="21">
      <c r="A63" s="591" t="s">
        <v>1104</v>
      </c>
      <c r="B63" s="592" t="s">
        <v>1105</v>
      </c>
      <c r="C63" s="545" t="s">
        <v>1008</v>
      </c>
      <c r="D63" s="548">
        <v>0</v>
      </c>
      <c r="E63" s="548">
        <v>0</v>
      </c>
      <c r="F63" s="548">
        <v>0</v>
      </c>
      <c r="G63" s="547"/>
      <c r="H63" s="547"/>
      <c r="I63" s="547"/>
      <c r="J63" s="547"/>
      <c r="K63" s="547"/>
    </row>
    <row r="64" ht="15">
      <c r="A64" s="591" t="s">
        <v>1106</v>
      </c>
      <c r="B64" s="592" t="s">
        <v>1107</v>
      </c>
      <c r="C64" s="545" t="s">
        <v>1008</v>
      </c>
      <c r="D64" s="548">
        <v>0</v>
      </c>
      <c r="E64" s="548">
        <v>0</v>
      </c>
      <c r="F64" s="548">
        <v>0</v>
      </c>
      <c r="G64" s="564">
        <v>0</v>
      </c>
      <c r="H64" s="564">
        <v>0</v>
      </c>
      <c r="I64" s="564">
        <v>0</v>
      </c>
      <c r="J64" s="564">
        <v>0</v>
      </c>
      <c r="K64" s="564">
        <v>0</v>
      </c>
    </row>
    <row r="65" ht="23.25">
      <c r="A65" s="591" t="s">
        <v>1108</v>
      </c>
      <c r="B65" s="594" t="s">
        <v>1109</v>
      </c>
      <c r="C65" s="595" t="s">
        <v>1008</v>
      </c>
      <c r="D65" s="565">
        <v>5296.4047399999999</v>
      </c>
      <c r="E65" s="565">
        <v>5468.8999449999556</v>
      </c>
      <c r="F65" s="596">
        <v>2293.7689930000001</v>
      </c>
      <c r="G65" s="597">
        <v>2442.8639775450001</v>
      </c>
      <c r="H65" s="597">
        <v>2380.9322147339999</v>
      </c>
      <c r="I65" s="597">
        <v>2577.221496309975</v>
      </c>
      <c r="J65" s="597">
        <v>2488.07416439703</v>
      </c>
      <c r="K65" s="597">
        <v>2624.9182434388667</v>
      </c>
    </row>
    <row r="66" ht="15.75">
      <c r="A66" s="566" t="s">
        <v>25</v>
      </c>
      <c r="B66" s="598" t="s">
        <v>264</v>
      </c>
      <c r="C66" s="567" t="s">
        <v>1008</v>
      </c>
      <c r="D66" s="565">
        <v>261443.03333999997</v>
      </c>
      <c r="E66" s="565">
        <v>273088.53869000007</v>
      </c>
      <c r="F66" s="565">
        <v>253478.53612209996</v>
      </c>
      <c r="G66" s="568">
        <v>298568.98697300721</v>
      </c>
      <c r="H66" s="568">
        <v>298694.40072895051</v>
      </c>
      <c r="I66" s="568">
        <v>340276.55852405936</v>
      </c>
      <c r="J66" s="568">
        <v>343393.07794321777</v>
      </c>
      <c r="K66" s="568">
        <v>372351.59082009469</v>
      </c>
    </row>
    <row r="68" ht="15">
      <c r="B68" s="599" t="s">
        <v>1110</v>
      </c>
      <c r="D68" s="600" t="e">
        <f>D18+D19+(D$2-D$13-D$18-D$19)*ФЭМ!#REF!/ФЭМ!#REF!</f>
        <v>#REF!</v>
      </c>
      <c r="E68" s="600" t="e">
        <f>E18+E19+(E$2-E$13-E$18-E$19-E$4)*ФЭМ!#REF!/ФЭМ!#REF!</f>
        <v>#REF!</v>
      </c>
      <c r="F68" s="600" t="e">
        <f>F18+F19+(F$2-F$13-F$18-F$19-F$4-F5-F6)*ФЭМ!#REF!/ФЭМ!#REF!</f>
        <v>#REF!</v>
      </c>
      <c r="G68" s="600" t="e">
        <f>G18+G19+(G$2-G$13-G$18-G$19-G$4-G5-G6)*ФЭМ!#REF!/ФЭМ!#REF!</f>
        <v>#REF!</v>
      </c>
      <c r="H68" s="600" t="e">
        <f>H18+H19+(H$2-H$13-H$18-H$19-H$4-H5-H6)*ФЭМ!#REF!/ФЭМ!G$23</f>
        <v>#REF!</v>
      </c>
      <c r="I68" s="600" t="e">
        <f>I18+I19+(I$2-I$13-I$18-I$19-I$4-I5-I6)*ФЭМ!#REF!/ФЭМ!#REF!</f>
        <v>#REF!</v>
      </c>
      <c r="J68" s="600" t="e">
        <f>J18+J19+(J$2-J$13-J$18-J$19-J$4-J5-J6)*ФЭМ!#REF!/ФЭМ!I$23</f>
        <v>#REF!</v>
      </c>
      <c r="K68" s="600" t="e">
        <f>K18+K19+(K$2-K$13-K$18-K$19-K$4-K5-K6)*ФЭМ!#REF!/ФЭМ!#REF!</f>
        <v>#REF!</v>
      </c>
    </row>
    <row r="69" ht="15">
      <c r="B69" s="599" t="s">
        <v>1111</v>
      </c>
      <c r="D69" s="600" t="e">
        <f>D13+(D$2-D$13-D$18-D$19)*ФЭМ!#REF!/ФЭМ!#REF!</f>
        <v>#REF!</v>
      </c>
      <c r="E69" s="600" t="e">
        <f>E13+E4+(E$2-E$13-E$18-E$19-E$4)*ФЭМ!#REF!/ФЭМ!#REF!</f>
        <v>#REF!</v>
      </c>
      <c r="F69" s="600" t="e">
        <f>F13+F4+F5+F6+(F$2-F$13-F$18-F$19-F$4-F5-F6)*ФЭМ!#REF!/ФЭМ!#REF!</f>
        <v>#REF!</v>
      </c>
      <c r="G69" s="600" t="e">
        <f>G13+G4+G5+G6+(G$2-G$13-G$18-G$19-G$4-G5-G6)*ФЭМ!#REF!/ФЭМ!#REF!</f>
        <v>#REF!</v>
      </c>
      <c r="H69" s="600" t="e">
        <f>H13+H4+H5+H6+(H$2-H$13-H$18-H$19-H$4-H5-H6)*ФЭМ!#REF!/ФЭМ!G$23</f>
        <v>#REF!</v>
      </c>
      <c r="I69" s="600" t="e">
        <f>I13+I4+I5+I6+(I$2-I$13-I$18-I$19-I$4-I5-I6)*ФЭМ!#REF!/ФЭМ!#REF!</f>
        <v>#REF!</v>
      </c>
      <c r="J69" s="600" t="e">
        <f>J13+J4+J5+J6+(J$2-J$13-J$18-J$19-J$4-J5-J6)*ФЭМ!#REF!/ФЭМ!I$23</f>
        <v>#REF!</v>
      </c>
      <c r="K69" s="600" t="e">
        <f>K13+K4+K5+K6+(K$2-K$13-K$18-K$19-K$4-K5-K6)*ФЭМ!#REF!/ФЭМ!#REF!</f>
        <v>#REF!</v>
      </c>
    </row>
    <row r="70" ht="15">
      <c r="B70" s="599" t="s">
        <v>1112</v>
      </c>
      <c r="D70" s="600" t="e">
        <f>D33+D39+(D$22-D$33-D$39-D$42)*ФЭМ!#REF!/ФЭМ!#REF!</f>
        <v>#REF!</v>
      </c>
      <c r="E70" s="600" t="e">
        <f>E33+E39+(E$22-E$33-E$39-E$42)*ФЭМ!#REF!/ФЭМ!#REF!</f>
        <v>#REF!</v>
      </c>
      <c r="F70" s="600" t="e">
        <f>F33+F39+(F$22-F$33-F$39-F$42)*ФЭМ!#REF!/ФЭМ!#REF!</f>
        <v>#REF!</v>
      </c>
      <c r="G70" s="600" t="e">
        <f>G33+G39+(G$22-G$33-G$39-G$42)*ФЭМ!#REF!/ФЭМ!#REF!</f>
        <v>#REF!</v>
      </c>
      <c r="H70" s="600" t="e">
        <f>H33+H39+(H$22-H$33-H$39-H$42)*ФЭМ!#REF!/ФЭМ!G$23</f>
        <v>#REF!</v>
      </c>
      <c r="I70" s="600" t="e">
        <f>I33+I39+(I$22-I$33-I$39-I$42)*ФЭМ!#REF!/ФЭМ!#REF!</f>
        <v>#REF!</v>
      </c>
      <c r="J70" s="600" t="e">
        <f>J33+J39+(J$22-J$33-J$39-J$42)*ФЭМ!#REF!/ФЭМ!I$23</f>
        <v>#REF!</v>
      </c>
      <c r="K70" s="600" t="e">
        <f>K33+K39+(K$22-K$33-K$39-K$42)*ФЭМ!#REF!/ФЭМ!#REF!</f>
        <v>#REF!</v>
      </c>
    </row>
    <row r="71" ht="15">
      <c r="B71" s="599" t="s">
        <v>1113</v>
      </c>
      <c r="D71" s="600" t="e">
        <f>D42+(D$22-D$33-D$39-D$42)*ФЭМ!#REF!/ФЭМ!#REF!</f>
        <v>#REF!</v>
      </c>
      <c r="E71" s="600" t="e">
        <f>E42+(E$22-E$33-E$39-E$42)*ФЭМ!#REF!/ФЭМ!#REF!</f>
        <v>#REF!</v>
      </c>
      <c r="F71" s="600" t="e">
        <f>F42+(F$22-F$33-F$39-F$42)*ФЭМ!#REF!/ФЭМ!#REF!</f>
        <v>#REF!</v>
      </c>
      <c r="G71" s="600" t="e">
        <f>G42+(G$22-G$33-G$39-G$42)*ФЭМ!#REF!/ФЭМ!#REF!</f>
        <v>#REF!</v>
      </c>
      <c r="H71" s="600" t="e">
        <f>H42+(H$22-H$33-H$39-H$42)*ФЭМ!#REF!/ФЭМ!G$23</f>
        <v>#REF!</v>
      </c>
      <c r="I71" s="600" t="e">
        <f>I42+(I$22-I$33-I$39-I$42)*ФЭМ!#REF!/ФЭМ!#REF!</f>
        <v>#REF!</v>
      </c>
      <c r="J71" s="600" t="e">
        <f>J42+(J$22-J$33-J$39-J$42)*ФЭМ!#REF!/ФЭМ!I$23</f>
        <v>#REF!</v>
      </c>
      <c r="K71" s="600" t="e">
        <f>K42+(K$22-K$33-K$39-K$42)*ФЭМ!#REF!/ФЭМ!#REF!</f>
        <v>#REF!</v>
      </c>
    </row>
    <row r="73" ht="15">
      <c r="B73" s="599" t="s">
        <v>1110</v>
      </c>
      <c r="D73" s="600" t="e">
        <f>D68/1000</f>
        <v>#REF!</v>
      </c>
      <c r="E73" s="600" t="e">
        <f>#N/A</f>
        <v>#N/A</v>
      </c>
      <c r="F73" s="600" t="e">
        <f>#N/A</f>
        <v>#N/A</v>
      </c>
      <c r="G73" s="600" t="e">
        <f>#N/A</f>
        <v>#N/A</v>
      </c>
      <c r="H73" s="600" t="e">
        <f>#N/A</f>
        <v>#N/A</v>
      </c>
      <c r="I73" s="600" t="e">
        <f>#N/A</f>
        <v>#N/A</v>
      </c>
      <c r="J73" s="600" t="e">
        <f>#N/A</f>
        <v>#N/A</v>
      </c>
      <c r="K73" s="600" t="e">
        <f>#N/A</f>
        <v>#N/A</v>
      </c>
    </row>
    <row r="74" ht="15">
      <c r="B74" s="599" t="s">
        <v>1111</v>
      </c>
      <c r="D74" s="600" t="e">
        <f>#N/A</f>
        <v>#N/A</v>
      </c>
      <c r="E74" s="600" t="e">
        <f>#N/A</f>
        <v>#N/A</v>
      </c>
      <c r="F74" s="600" t="e">
        <f>#N/A</f>
        <v>#N/A</v>
      </c>
      <c r="G74" s="600" t="e">
        <f>#N/A</f>
        <v>#N/A</v>
      </c>
      <c r="H74" s="600" t="e">
        <f>#N/A</f>
        <v>#N/A</v>
      </c>
      <c r="I74" s="600" t="e">
        <f>#N/A</f>
        <v>#N/A</v>
      </c>
      <c r="J74" s="600" t="e">
        <f>#N/A</f>
        <v>#N/A</v>
      </c>
      <c r="K74" s="600" t="e">
        <f>#N/A</f>
        <v>#N/A</v>
      </c>
    </row>
    <row r="75" ht="15">
      <c r="B75" s="599" t="s">
        <v>1112</v>
      </c>
      <c r="D75" s="600" t="e">
        <f>#N/A</f>
        <v>#N/A</v>
      </c>
      <c r="E75" s="600" t="e">
        <f>#N/A</f>
        <v>#N/A</v>
      </c>
      <c r="F75" s="600" t="e">
        <f>#N/A</f>
        <v>#N/A</v>
      </c>
      <c r="G75" s="600" t="e">
        <f>#N/A</f>
        <v>#N/A</v>
      </c>
      <c r="H75" s="600" t="e">
        <f>#N/A</f>
        <v>#N/A</v>
      </c>
      <c r="I75" s="600" t="e">
        <f>#N/A</f>
        <v>#N/A</v>
      </c>
      <c r="J75" s="600" t="e">
        <f>#N/A</f>
        <v>#N/A</v>
      </c>
      <c r="K75" s="600" t="e">
        <f>#N/A</f>
        <v>#N/A</v>
      </c>
    </row>
    <row r="76" ht="15">
      <c r="B76" s="599" t="s">
        <v>1113</v>
      </c>
      <c r="D76" s="600" t="e">
        <f>#N/A</f>
        <v>#N/A</v>
      </c>
      <c r="E76" s="600" t="e">
        <f>#N/A</f>
        <v>#N/A</v>
      </c>
      <c r="F76" s="600" t="e">
        <f>#N/A</f>
        <v>#N/A</v>
      </c>
      <c r="G76" s="600" t="e">
        <f>#N/A</f>
        <v>#N/A</v>
      </c>
      <c r="H76" s="600" t="e">
        <f>#N/A</f>
        <v>#N/A</v>
      </c>
      <c r="I76" s="600" t="e">
        <f>#N/A</f>
        <v>#N/A</v>
      </c>
      <c r="J76" s="600" t="e">
        <f>#N/A</f>
        <v>#N/A</v>
      </c>
      <c r="K76" s="600" t="e">
        <f>#N/A</f>
        <v>#N/A</v>
      </c>
    </row>
  </sheetData>
  <printOptions headings="0" gridLines="0"/>
  <pageMargins left="0.69999999999999996" right="0.69999999999999996" top="0.75" bottom="0.75" header="0.29999999999999999" footer="0.29999999999999999"/>
  <pageSetup paperSize="9" scale="90" firstPageNumber="1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O20" activeCellId="0" sqref="O20"/>
    </sheetView>
  </sheetViews>
  <sheetFormatPr baseColWidth="8" defaultRowHeight="15" customHeight="1"/>
  <cols>
    <col customWidth="1" min="2" max="2" width="68.140600000000006"/>
    <col customWidth="1" min="3" max="7" width="14.855499999999999"/>
  </cols>
  <sheetData>
    <row r="6" ht="90">
      <c r="A6" s="601" t="s">
        <v>1114</v>
      </c>
      <c r="B6" s="601" t="s">
        <v>1115</v>
      </c>
      <c r="C6" s="601" t="s">
        <v>1116</v>
      </c>
      <c r="D6" s="601" t="s">
        <v>1117</v>
      </c>
      <c r="E6" s="601" t="s">
        <v>1118</v>
      </c>
      <c r="F6" s="601" t="s">
        <v>1119</v>
      </c>
      <c r="G6" s="602" t="s">
        <v>1120</v>
      </c>
    </row>
    <row r="7" ht="16.5">
      <c r="A7" s="603" t="s">
        <v>1121</v>
      </c>
      <c r="B7" s="603" t="s">
        <v>1122</v>
      </c>
      <c r="C7" s="604">
        <v>177804.29999999999</v>
      </c>
      <c r="D7" s="604">
        <v>165103.20000000001</v>
      </c>
      <c r="E7" s="604">
        <v>144082.29999999999</v>
      </c>
      <c r="F7" s="604">
        <v>190896.89999999999</v>
      </c>
      <c r="G7" s="604">
        <v>677886.90000000002</v>
      </c>
    </row>
    <row r="8" ht="16.5">
      <c r="A8" s="605">
        <v>1</v>
      </c>
      <c r="B8" s="606" t="s">
        <v>1123</v>
      </c>
      <c r="C8" s="604">
        <v>98373.300000000003</v>
      </c>
      <c r="D8" s="604">
        <v>86029.100000000006</v>
      </c>
      <c r="E8" s="604">
        <v>105465.3</v>
      </c>
      <c r="F8" s="604">
        <v>153072.89999999999</v>
      </c>
      <c r="G8" s="604">
        <v>442940.59999999998</v>
      </c>
    </row>
    <row r="9" ht="16.5">
      <c r="A9" s="603" t="s">
        <v>11</v>
      </c>
      <c r="B9" s="606" t="s">
        <v>1124</v>
      </c>
      <c r="C9" s="604">
        <v>6997.5</v>
      </c>
      <c r="D9" s="604">
        <v>6172.8999999999996</v>
      </c>
      <c r="E9" s="604">
        <v>19737</v>
      </c>
      <c r="F9" s="604">
        <v>65231.699999999997</v>
      </c>
      <c r="G9" s="604">
        <v>98139.199999999997</v>
      </c>
    </row>
    <row r="10" ht="30">
      <c r="A10" s="603" t="s">
        <v>1125</v>
      </c>
      <c r="B10" s="606" t="s">
        <v>113</v>
      </c>
      <c r="C10" s="607"/>
      <c r="D10" s="607"/>
      <c r="E10" s="607"/>
      <c r="F10" s="607"/>
      <c r="G10" s="604">
        <v>0</v>
      </c>
    </row>
    <row r="11" ht="16.5">
      <c r="A11" s="603" t="s">
        <v>1126</v>
      </c>
      <c r="B11" s="606" t="s">
        <v>115</v>
      </c>
      <c r="C11" s="607"/>
      <c r="D11" s="607"/>
      <c r="E11" s="607"/>
      <c r="F11" s="607"/>
      <c r="G11" s="604">
        <v>0</v>
      </c>
    </row>
    <row r="12" ht="16.5">
      <c r="A12" s="603" t="s">
        <v>1127</v>
      </c>
      <c r="B12" s="606" t="s">
        <v>1128</v>
      </c>
      <c r="C12" s="607"/>
      <c r="D12" s="607"/>
      <c r="E12" s="607"/>
      <c r="F12" s="607"/>
      <c r="G12" s="604">
        <v>0</v>
      </c>
    </row>
    <row r="13" ht="16.5">
      <c r="A13" s="603" t="s">
        <v>1129</v>
      </c>
      <c r="B13" s="606" t="s">
        <v>942</v>
      </c>
      <c r="C13" s="604">
        <v>6997.5</v>
      </c>
      <c r="D13" s="604">
        <v>6172.8999999999996</v>
      </c>
      <c r="E13" s="604">
        <v>19737</v>
      </c>
      <c r="F13" s="604">
        <v>65231.699999999997</v>
      </c>
      <c r="G13" s="604">
        <v>98139.199999999997</v>
      </c>
    </row>
    <row r="14" ht="16.5">
      <c r="A14" s="603"/>
      <c r="B14" s="606" t="s">
        <v>1130</v>
      </c>
      <c r="C14" s="604">
        <v>6997.5</v>
      </c>
      <c r="D14" s="604">
        <v>6172.8999999999996</v>
      </c>
      <c r="E14" s="604">
        <v>19737</v>
      </c>
      <c r="F14" s="604">
        <v>49424.099999999999</v>
      </c>
      <c r="G14" s="604">
        <v>82331.600000000006</v>
      </c>
    </row>
    <row r="15" ht="16.5">
      <c r="A15" s="603"/>
      <c r="B15" s="606" t="s">
        <v>1131</v>
      </c>
      <c r="C15" s="607"/>
      <c r="D15" s="607"/>
      <c r="E15" s="607"/>
      <c r="F15" s="604">
        <v>15807.6</v>
      </c>
      <c r="G15" s="604">
        <v>15807.6</v>
      </c>
    </row>
    <row r="16" ht="16.5">
      <c r="A16" s="603" t="s">
        <v>13</v>
      </c>
      <c r="B16" s="606" t="s">
        <v>1132</v>
      </c>
      <c r="C16" s="604">
        <v>38021</v>
      </c>
      <c r="D16" s="604">
        <v>48757.900000000001</v>
      </c>
      <c r="E16" s="604">
        <v>55334</v>
      </c>
      <c r="F16" s="604">
        <v>60440.199999999997</v>
      </c>
      <c r="G16" s="604">
        <v>202553</v>
      </c>
    </row>
    <row r="17" ht="30">
      <c r="A17" s="603" t="s">
        <v>1133</v>
      </c>
      <c r="B17" s="606" t="s">
        <v>128</v>
      </c>
      <c r="C17" s="607"/>
      <c r="D17" s="607"/>
      <c r="E17" s="607"/>
      <c r="F17" s="607"/>
      <c r="G17" s="604">
        <v>0</v>
      </c>
    </row>
    <row r="18" ht="30">
      <c r="A18" s="603" t="s">
        <v>1134</v>
      </c>
      <c r="B18" s="608" t="s">
        <v>1135</v>
      </c>
      <c r="C18" s="609">
        <v>37479.400000000001</v>
      </c>
      <c r="D18" s="609">
        <v>48108.199999999997</v>
      </c>
      <c r="E18" s="609">
        <v>54669.400000000001</v>
      </c>
      <c r="F18" s="609">
        <v>59784</v>
      </c>
      <c r="G18" s="609">
        <v>200041</v>
      </c>
    </row>
    <row r="19" ht="16.5">
      <c r="A19" s="603"/>
      <c r="B19" s="608" t="s">
        <v>1136</v>
      </c>
      <c r="C19" s="609">
        <v>24774.400000000001</v>
      </c>
      <c r="D19" s="609">
        <v>28568.299999999999</v>
      </c>
      <c r="E19" s="609">
        <v>30947.700000000001</v>
      </c>
      <c r="F19" s="609">
        <v>30095.400000000001</v>
      </c>
      <c r="G19" s="609">
        <v>114385.7</v>
      </c>
    </row>
    <row r="20" ht="16.5">
      <c r="A20" s="603"/>
      <c r="B20" s="608" t="s">
        <v>1137</v>
      </c>
      <c r="C20" s="609">
        <v>12704.9</v>
      </c>
      <c r="D20" s="609">
        <v>19539.900000000001</v>
      </c>
      <c r="E20" s="609">
        <v>23721.700000000001</v>
      </c>
      <c r="F20" s="609">
        <v>29688.700000000001</v>
      </c>
      <c r="G20" s="609">
        <v>85655.300000000003</v>
      </c>
    </row>
    <row r="21" ht="30">
      <c r="A21" s="603" t="s">
        <v>1138</v>
      </c>
      <c r="B21" s="606" t="s">
        <v>1139</v>
      </c>
      <c r="C21" s="604">
        <v>541.60000000000002</v>
      </c>
      <c r="D21" s="604">
        <v>649.70000000000005</v>
      </c>
      <c r="E21" s="604">
        <v>664.5</v>
      </c>
      <c r="F21" s="604">
        <v>656.10000000000002</v>
      </c>
      <c r="G21" s="604">
        <v>2512</v>
      </c>
    </row>
    <row r="22" ht="16.5">
      <c r="A22" s="603" t="s">
        <v>1140</v>
      </c>
      <c r="B22" s="606" t="s">
        <v>132</v>
      </c>
      <c r="C22" s="607"/>
      <c r="D22" s="610">
        <v>0</v>
      </c>
      <c r="E22" s="610">
        <v>0</v>
      </c>
      <c r="F22" s="610">
        <v>0</v>
      </c>
      <c r="G22" s="610">
        <v>0</v>
      </c>
    </row>
    <row r="23" ht="16.5">
      <c r="A23" s="603" t="s">
        <v>21</v>
      </c>
      <c r="B23" s="606" t="s">
        <v>134</v>
      </c>
      <c r="C23" s="611"/>
      <c r="D23" s="612"/>
      <c r="E23" s="612"/>
      <c r="F23" s="612"/>
      <c r="G23" s="613">
        <v>0</v>
      </c>
    </row>
    <row r="24" ht="16.5">
      <c r="A24" s="603" t="s">
        <v>1141</v>
      </c>
      <c r="B24" s="606" t="s">
        <v>1142</v>
      </c>
      <c r="C24" s="604">
        <v>53354.699999999997</v>
      </c>
      <c r="D24" s="614">
        <v>31098.299999999999</v>
      </c>
      <c r="E24" s="614">
        <v>30394.299999999999</v>
      </c>
      <c r="F24" s="614">
        <v>27401</v>
      </c>
      <c r="G24" s="614">
        <v>142248.39999999999</v>
      </c>
    </row>
    <row r="25" ht="16.5">
      <c r="A25" s="603" t="s">
        <v>137</v>
      </c>
      <c r="B25" s="606" t="s">
        <v>138</v>
      </c>
      <c r="C25" s="607"/>
      <c r="D25" s="607"/>
      <c r="E25" s="607"/>
      <c r="F25" s="607"/>
      <c r="G25" s="604">
        <v>0</v>
      </c>
    </row>
    <row r="26" ht="16.5">
      <c r="A26" s="603" t="s">
        <v>177</v>
      </c>
      <c r="B26" s="606" t="s">
        <v>1143</v>
      </c>
      <c r="C26" s="604">
        <v>53354.699999999997</v>
      </c>
      <c r="D26" s="604">
        <v>31098.299999999999</v>
      </c>
      <c r="E26" s="604">
        <v>30394.299999999999</v>
      </c>
      <c r="F26" s="604">
        <v>27401</v>
      </c>
      <c r="G26" s="604">
        <v>142248.39999999999</v>
      </c>
    </row>
    <row r="27" ht="16.5">
      <c r="A27" s="603"/>
      <c r="B27" s="606" t="s">
        <v>1144</v>
      </c>
      <c r="C27" s="604">
        <v>53354.699999999997</v>
      </c>
      <c r="D27" s="604">
        <v>31098.299999999999</v>
      </c>
      <c r="E27" s="604">
        <v>30394.299999999999</v>
      </c>
      <c r="F27" s="604">
        <v>27401</v>
      </c>
      <c r="G27" s="604">
        <v>142248.39999999999</v>
      </c>
    </row>
    <row r="28" ht="16.5">
      <c r="A28" s="603"/>
      <c r="B28" s="606" t="s">
        <v>1145</v>
      </c>
      <c r="C28" s="604">
        <v>0</v>
      </c>
      <c r="D28" s="604">
        <v>0</v>
      </c>
      <c r="E28" s="604">
        <v>0</v>
      </c>
      <c r="F28" s="604">
        <v>0</v>
      </c>
      <c r="G28" s="604">
        <v>0</v>
      </c>
    </row>
    <row r="29" ht="16.5">
      <c r="A29" s="603" t="s">
        <v>1146</v>
      </c>
      <c r="B29" s="606" t="s">
        <v>1147</v>
      </c>
      <c r="C29" s="607"/>
      <c r="D29" s="607"/>
      <c r="E29" s="607"/>
      <c r="F29" s="607"/>
      <c r="G29" s="604">
        <v>0</v>
      </c>
    </row>
    <row r="30" ht="16.5">
      <c r="A30" s="603" t="s">
        <v>1148</v>
      </c>
      <c r="B30" s="606" t="s">
        <v>140</v>
      </c>
      <c r="C30" s="607"/>
      <c r="D30" s="607"/>
      <c r="E30" s="607"/>
      <c r="F30" s="607"/>
      <c r="G30" s="604">
        <v>0</v>
      </c>
    </row>
    <row r="31" ht="16.5">
      <c r="A31" s="603" t="s">
        <v>1149</v>
      </c>
      <c r="B31" s="606" t="s">
        <v>1150</v>
      </c>
      <c r="C31" s="604">
        <v>79431.100000000006</v>
      </c>
      <c r="D31" s="604">
        <v>79074.199999999997</v>
      </c>
      <c r="E31" s="604">
        <v>38617</v>
      </c>
      <c r="F31" s="604">
        <v>37824</v>
      </c>
      <c r="G31" s="604">
        <v>234946.20000000001</v>
      </c>
    </row>
    <row r="32" ht="16.5">
      <c r="A32" s="603" t="s">
        <v>46</v>
      </c>
      <c r="B32" s="606" t="s">
        <v>144</v>
      </c>
      <c r="C32" s="604">
        <v>55900.900000000001</v>
      </c>
      <c r="D32" s="604">
        <v>40560.199999999997</v>
      </c>
      <c r="E32" s="604">
        <v>0</v>
      </c>
      <c r="F32" s="604">
        <v>0</v>
      </c>
      <c r="G32" s="604">
        <v>96461.100000000006</v>
      </c>
    </row>
    <row r="33" ht="16.5">
      <c r="A33" s="603" t="s">
        <v>1151</v>
      </c>
      <c r="B33" s="606" t="s">
        <v>146</v>
      </c>
      <c r="C33" s="607"/>
      <c r="D33" s="607"/>
      <c r="E33" s="607"/>
      <c r="F33" s="607"/>
      <c r="G33" s="604">
        <v>0</v>
      </c>
    </row>
    <row r="34" ht="16.5">
      <c r="A34" s="603" t="s">
        <v>1152</v>
      </c>
      <c r="B34" s="606" t="s">
        <v>148</v>
      </c>
      <c r="C34" s="607"/>
      <c r="D34" s="607"/>
      <c r="E34" s="607"/>
      <c r="F34" s="607"/>
      <c r="G34" s="604">
        <v>0</v>
      </c>
    </row>
    <row r="35" ht="16.5">
      <c r="A35" s="603" t="s">
        <v>1153</v>
      </c>
      <c r="B35" s="606" t="s">
        <v>150</v>
      </c>
      <c r="C35" s="604">
        <v>23530.099999999999</v>
      </c>
      <c r="D35" s="604">
        <v>38514</v>
      </c>
      <c r="E35" s="604">
        <v>38617</v>
      </c>
      <c r="F35" s="604">
        <v>37824</v>
      </c>
      <c r="G35" s="604">
        <v>138485.10000000001</v>
      </c>
    </row>
    <row r="36" ht="16.5">
      <c r="A36" s="603"/>
      <c r="B36" s="606" t="s">
        <v>151</v>
      </c>
      <c r="C36" s="604">
        <v>23530.099999999999</v>
      </c>
      <c r="D36" s="604">
        <v>38514</v>
      </c>
      <c r="E36" s="604">
        <v>38617</v>
      </c>
      <c r="F36" s="604">
        <v>37824</v>
      </c>
      <c r="G36" s="604">
        <v>138485.10000000001</v>
      </c>
    </row>
    <row r="37" ht="30">
      <c r="A37" s="603"/>
      <c r="B37" s="606" t="s">
        <v>152</v>
      </c>
      <c r="C37" s="607"/>
      <c r="D37" s="607"/>
      <c r="E37" s="607"/>
      <c r="F37" s="607"/>
      <c r="G37" s="604">
        <v>0</v>
      </c>
    </row>
    <row r="38" ht="16.5">
      <c r="A38" s="603"/>
      <c r="B38" s="606" t="s">
        <v>153</v>
      </c>
      <c r="C38" s="607"/>
      <c r="D38" s="607"/>
      <c r="E38" s="607"/>
      <c r="F38" s="607"/>
      <c r="G38" s="604">
        <v>0</v>
      </c>
    </row>
    <row r="39" ht="30">
      <c r="A39" s="603"/>
      <c r="B39" s="615" t="s">
        <v>154</v>
      </c>
      <c r="C39" s="607"/>
      <c r="D39" s="607"/>
      <c r="E39" s="607"/>
      <c r="F39" s="607"/>
      <c r="G39" s="604">
        <v>0</v>
      </c>
    </row>
    <row r="40" ht="16.5">
      <c r="A40" s="603" t="s">
        <v>1154</v>
      </c>
      <c r="B40" s="606" t="s">
        <v>156</v>
      </c>
      <c r="C40" s="607"/>
      <c r="D40" s="607"/>
      <c r="E40" s="607"/>
      <c r="F40" s="607"/>
      <c r="G40" s="604">
        <v>0</v>
      </c>
    </row>
    <row r="41" ht="16.5">
      <c r="A41" s="603" t="s">
        <v>1155</v>
      </c>
      <c r="B41" s="606" t="s">
        <v>158</v>
      </c>
      <c r="C41" s="607"/>
      <c r="D41" s="607"/>
      <c r="E41" s="607"/>
      <c r="F41" s="607"/>
      <c r="G41" s="604">
        <v>0</v>
      </c>
    </row>
    <row r="42" ht="16.5">
      <c r="A42" s="603" t="s">
        <v>1156</v>
      </c>
      <c r="B42" s="606" t="s">
        <v>160</v>
      </c>
      <c r="C42" s="607"/>
      <c r="D42" s="607"/>
      <c r="E42" s="607"/>
      <c r="F42" s="607"/>
      <c r="G42" s="604">
        <v>0</v>
      </c>
    </row>
    <row r="43" ht="16.5">
      <c r="A43" s="603" t="s">
        <v>1157</v>
      </c>
      <c r="B43" s="606" t="s">
        <v>1158</v>
      </c>
      <c r="C43" s="604">
        <v>177804.29999999999</v>
      </c>
      <c r="D43" s="604">
        <v>165103.20000000001</v>
      </c>
      <c r="E43" s="604">
        <v>144082.29999999999</v>
      </c>
      <c r="F43" s="604">
        <v>190896.89999999999</v>
      </c>
      <c r="G43" s="604">
        <v>677886.80000000005</v>
      </c>
    </row>
    <row r="44" ht="16.5">
      <c r="A44" s="603" t="s">
        <v>1159</v>
      </c>
      <c r="B44" s="606" t="s">
        <v>1160</v>
      </c>
      <c r="C44" s="604">
        <v>0</v>
      </c>
      <c r="D44" s="604">
        <v>0</v>
      </c>
      <c r="E44" s="604">
        <v>0</v>
      </c>
      <c r="F44" s="604">
        <v>0</v>
      </c>
      <c r="G44" s="604">
        <v>0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Company>MOESK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KolesnikovDV</dc:creator>
  <cp:revision>1</cp:revision>
  <dcterms:created xsi:type="dcterms:W3CDTF">2015-09-16T07:43:00Z</dcterms:created>
  <dcterms:modified xsi:type="dcterms:W3CDTF">2023-10-20T09:28:55Z</dcterms:modified>
  <cp:version>983040</cp:version>
</cp:coreProperties>
</file>